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" windowWidth="11030" windowHeight="6430" activeTab="1"/>
  </bookViews>
  <sheets>
    <sheet name="Example 1" sheetId="1" r:id="rId1"/>
    <sheet name="Example 2" sheetId="2" r:id="rId2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<sst xmlns="http://schemas.openxmlformats.org/spreadsheetml/2006/main" count="265" uniqueCount="93">
  <si>
    <r>
      <rPr>
        <sz val="10"/>
        <rFont val="Symbol"/>
        <family val="1"/>
      </rPr>
      <t>l</t>
    </r>
    <r>
      <rPr>
        <sz val="10"/>
        <rFont val="Arial"/>
        <family val="2"/>
      </rPr>
      <t>/V</t>
    </r>
  </si>
  <si>
    <r>
      <rPr>
        <sz val="10"/>
        <rFont val="Symbol"/>
        <family val="1"/>
      </rPr>
      <t>k</t>
    </r>
    <r>
      <rPr>
        <sz val="10"/>
        <rFont val="Arial"/>
        <family val="2"/>
      </rPr>
      <t>/V</t>
    </r>
  </si>
  <si>
    <r>
      <rPr>
        <sz val="10"/>
        <rFont val="GreekS"/>
        <family val="2"/>
      </rPr>
      <t>Y</t>
    </r>
    <r>
      <rPr>
        <sz val="10"/>
        <rFont val="Arial"/>
        <family val="2"/>
      </rPr>
      <t>/v</t>
    </r>
  </si>
  <si>
    <r>
      <t>C</t>
    </r>
    <r>
      <rPr>
        <vertAlign val="subscript"/>
        <sz val="10"/>
        <rFont val="Arial"/>
        <family val="2"/>
      </rPr>
      <t>e</t>
    </r>
  </si>
  <si>
    <r>
      <t>C</t>
    </r>
    <r>
      <rPr>
        <vertAlign val="subscript"/>
        <sz val="10"/>
        <rFont val="Arial"/>
        <family val="2"/>
      </rPr>
      <t>c</t>
    </r>
  </si>
  <si>
    <r>
      <t>C</t>
    </r>
    <r>
      <rPr>
        <vertAlign val="subscript"/>
        <sz val="10"/>
        <rFont val="Symbol"/>
        <family val="1"/>
      </rPr>
      <t>a</t>
    </r>
    <r>
      <rPr>
        <vertAlign val="subscript"/>
        <sz val="10"/>
        <rFont val="Arial"/>
        <family val="2"/>
      </rPr>
      <t>e</t>
    </r>
  </si>
  <si>
    <t>r_clay (kN/m^3)</t>
  </si>
  <si>
    <t>Point</t>
  </si>
  <si>
    <t>Step</t>
  </si>
  <si>
    <t>OCR 2</t>
  </si>
  <si>
    <t>OCR 4</t>
  </si>
  <si>
    <t xml:space="preserve">           Time [day]</t>
  </si>
  <si>
    <t xml:space="preserve">              |u| [m]</t>
  </si>
  <si>
    <t xml:space="preserve">                  N/A</t>
  </si>
  <si>
    <t>Mid sub-layer depth</t>
  </si>
  <si>
    <t>Settlement:</t>
  </si>
  <si>
    <t>(m)</t>
  </si>
  <si>
    <t>Total strain:</t>
  </si>
  <si>
    <t>Number layers</t>
  </si>
  <si>
    <t>Strain</t>
  </si>
  <si>
    <t>Layer=4m, sub-layer=4m, OCR=1</t>
  </si>
  <si>
    <t>Layer=4m, sub-layer=2m, OCR=1</t>
  </si>
  <si>
    <t>Layer=4m, sub-layer=1m, OCR=1</t>
  </si>
  <si>
    <t>Layer=4m, sub-layer=0.5m, OCR=1</t>
  </si>
  <si>
    <t>Layer=4m, sub-layer=4m, OCR=1.5</t>
  </si>
  <si>
    <t>Layer=4m, sub-layer=2m, OCR=1.5</t>
  </si>
  <si>
    <t>Layer=4m, sub-layer=0.5m, OCR=1.5</t>
  </si>
  <si>
    <t>Layer=4m, sub-layer=1m, OCR=1.5</t>
  </si>
  <si>
    <t>Use this</t>
  </si>
  <si>
    <r>
      <t>S</t>
    </r>
    <r>
      <rPr>
        <sz val="8"/>
        <rFont val="Arial"/>
        <family val="2"/>
      </rPr>
      <t>_creep,d</t>
    </r>
    <r>
      <rPr>
        <sz val="10"/>
        <rFont val="Arial"/>
        <family val="2"/>
      </rPr>
      <t xml:space="preserve"> (m)</t>
    </r>
  </si>
  <si>
    <r>
      <rPr>
        <sz val="10"/>
        <rFont val="Symbol"/>
        <family val="1"/>
      </rPr>
      <t>b</t>
    </r>
    <r>
      <rPr>
        <sz val="10"/>
        <rFont val="Arial"/>
        <family val="2"/>
      </rPr>
      <t>=</t>
    </r>
  </si>
  <si>
    <t>Example 1</t>
  </si>
  <si>
    <t xml:space="preserve">Case 1 - The vertical stress is suddenly increased to 120 kPa </t>
  </si>
  <si>
    <r>
      <rPr>
        <sz val="14"/>
        <rFont val="Symbol"/>
        <family val="1"/>
      </rPr>
      <t>e</t>
    </r>
    <r>
      <rPr>
        <vertAlign val="subscript"/>
        <sz val="14"/>
        <rFont val="Arial"/>
        <family val="2"/>
      </rPr>
      <t>zp</t>
    </r>
    <r>
      <rPr>
        <sz val="14"/>
        <rFont val="Arial"/>
        <family val="2"/>
      </rPr>
      <t>=</t>
    </r>
  </si>
  <si>
    <r>
      <rPr>
        <sz val="14"/>
        <rFont val="Symbol"/>
        <family val="1"/>
      </rPr>
      <t>De</t>
    </r>
    <r>
      <rPr>
        <vertAlign val="subscript"/>
        <sz val="14"/>
        <rFont val="Arial"/>
        <family val="2"/>
      </rPr>
      <t>z</t>
    </r>
    <r>
      <rPr>
        <sz val="14"/>
        <rFont val="Arial"/>
        <family val="2"/>
      </rPr>
      <t>=</t>
    </r>
  </si>
  <si>
    <r>
      <t>m</t>
    </r>
    <r>
      <rPr>
        <vertAlign val="subscript"/>
        <sz val="14"/>
        <rFont val="Arial"/>
        <family val="2"/>
      </rPr>
      <t>v</t>
    </r>
    <r>
      <rPr>
        <sz val="14"/>
        <rFont val="Arial"/>
        <family val="2"/>
      </rPr>
      <t>=</t>
    </r>
  </si>
  <si>
    <t>1/kPa</t>
  </si>
  <si>
    <t>1/MPa</t>
  </si>
  <si>
    <r>
      <t>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=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</si>
  <si>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/day=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</si>
  <si>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/year</t>
    </r>
  </si>
  <si>
    <r>
      <t>S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=</t>
    </r>
  </si>
  <si>
    <t>m2/day=</t>
  </si>
  <si>
    <r>
      <t>t</t>
    </r>
    <r>
      <rPr>
        <vertAlign val="subscript"/>
        <sz val="10"/>
        <rFont val="Arial"/>
        <family val="2"/>
      </rPr>
      <t>EOP,field</t>
    </r>
    <r>
      <rPr>
        <sz val="10"/>
        <rFont val="Arial"/>
        <family val="2"/>
      </rPr>
      <t>=</t>
    </r>
  </si>
  <si>
    <t>year</t>
  </si>
  <si>
    <t>t=</t>
  </si>
  <si>
    <t>years</t>
  </si>
  <si>
    <r>
      <t>T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=</t>
    </r>
  </si>
  <si>
    <r>
      <t>U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=</t>
    </r>
  </si>
  <si>
    <r>
      <t>S</t>
    </r>
    <r>
      <rPr>
        <vertAlign val="subscript"/>
        <sz val="10"/>
        <rFont val="Arial"/>
        <family val="2"/>
      </rPr>
      <t>creep,f</t>
    </r>
    <r>
      <rPr>
        <sz val="10"/>
        <rFont val="Arial"/>
        <family val="2"/>
      </rPr>
      <t>=</t>
    </r>
  </si>
  <si>
    <t>m</t>
  </si>
  <si>
    <r>
      <t>S</t>
    </r>
    <r>
      <rPr>
        <vertAlign val="subscript"/>
        <sz val="10"/>
        <rFont val="Arial"/>
        <family val="2"/>
      </rPr>
      <t>creep,d</t>
    </r>
    <r>
      <rPr>
        <sz val="10"/>
        <rFont val="Arial"/>
        <family val="2"/>
      </rPr>
      <t>=</t>
    </r>
  </si>
  <si>
    <r>
      <t>S</t>
    </r>
    <r>
      <rPr>
        <vertAlign val="subscript"/>
        <sz val="10"/>
        <rFont val="Arial"/>
        <family val="2"/>
      </rPr>
      <t>totalB</t>
    </r>
    <r>
      <rPr>
        <sz val="10"/>
        <rFont val="Arial"/>
        <family val="2"/>
      </rPr>
      <t>=</t>
    </r>
  </si>
  <si>
    <r>
      <t>S</t>
    </r>
    <r>
      <rPr>
        <vertAlign val="subscript"/>
        <sz val="10"/>
        <rFont val="Arial"/>
        <family val="2"/>
      </rPr>
      <t>totalA</t>
    </r>
    <r>
      <rPr>
        <sz val="10"/>
        <rFont val="Arial"/>
        <family val="2"/>
      </rPr>
      <t>=</t>
    </r>
  </si>
  <si>
    <t xml:space="preserve">Case 2 - The vertical stress is suddenly increased to 40 kPa </t>
  </si>
  <si>
    <r>
      <t>t</t>
    </r>
    <r>
      <rPr>
        <vertAlign val="subscript"/>
        <sz val="10"/>
        <rFont val="Arial"/>
        <family val="2"/>
      </rPr>
      <t>e2</t>
    </r>
    <r>
      <rPr>
        <sz val="10"/>
        <rFont val="Arial"/>
        <family val="2"/>
      </rPr>
      <t>=</t>
    </r>
  </si>
  <si>
    <t>day</t>
  </si>
  <si>
    <t>Example 2</t>
  </si>
  <si>
    <t>(a) Values of parameters of Hong Kong Marine Clay</t>
  </si>
  <si>
    <t>k (m/day)</t>
  </si>
  <si>
    <r>
      <t>t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(day)</t>
    </r>
  </si>
  <si>
    <r>
      <t>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=k/(m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x r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) (m^2/day)</t>
    </r>
  </si>
  <si>
    <r>
      <t>m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(1/kPa)</t>
    </r>
  </si>
  <si>
    <r>
      <rPr>
        <sz val="10"/>
        <rFont val="Symbol"/>
        <family val="1"/>
      </rPr>
      <t>e</t>
    </r>
    <r>
      <rPr>
        <vertAlign val="subscript"/>
        <sz val="10"/>
        <rFont val="Arial"/>
        <family val="2"/>
      </rPr>
      <t>z</t>
    </r>
    <r>
      <rPr>
        <sz val="10"/>
        <rFont val="Arial"/>
        <family val="2"/>
      </rPr>
      <t xml:space="preserve"> after 20kPa</t>
    </r>
  </si>
  <si>
    <r>
      <rPr>
        <sz val="10"/>
        <rFont val="Symbol"/>
        <family val="1"/>
      </rPr>
      <t>e</t>
    </r>
    <r>
      <rPr>
        <vertAlign val="subscript"/>
        <sz val="10"/>
        <rFont val="Arial"/>
        <family val="2"/>
      </rPr>
      <t>zp</t>
    </r>
    <r>
      <rPr>
        <sz val="10"/>
        <rFont val="Arial"/>
        <family val="2"/>
      </rPr>
      <t xml:space="preserve"> </t>
    </r>
  </si>
  <si>
    <r>
      <rPr>
        <sz val="10"/>
        <rFont val="Symbol"/>
        <family val="1"/>
      </rPr>
      <t>s</t>
    </r>
    <r>
      <rPr>
        <sz val="10"/>
        <rFont val="Arial"/>
        <family val="2"/>
      </rPr>
      <t>'</t>
    </r>
    <r>
      <rPr>
        <vertAlign val="subscript"/>
        <sz val="10"/>
        <rFont val="Arial"/>
        <family val="2"/>
      </rPr>
      <t>zi</t>
    </r>
    <r>
      <rPr>
        <sz val="10"/>
        <rFont val="Arial"/>
        <family val="2"/>
      </rPr>
      <t xml:space="preserve"> (kPa)</t>
    </r>
  </si>
  <si>
    <r>
      <rPr>
        <sz val="10"/>
        <rFont val="Symbol"/>
        <family val="1"/>
      </rPr>
      <t>s</t>
    </r>
    <r>
      <rPr>
        <sz val="10"/>
        <rFont val="Arial"/>
        <family val="2"/>
      </rPr>
      <t>'</t>
    </r>
    <r>
      <rPr>
        <vertAlign val="subscript"/>
        <sz val="10"/>
        <rFont val="Arial"/>
        <family val="2"/>
      </rPr>
      <t>zi</t>
    </r>
    <r>
      <rPr>
        <sz val="10"/>
        <rFont val="Arial"/>
        <family val="2"/>
      </rPr>
      <t xml:space="preserve"> +20 kPa (kPa)</t>
    </r>
  </si>
  <si>
    <r>
      <rPr>
        <sz val="10"/>
        <rFont val="Symbol"/>
        <family val="1"/>
      </rPr>
      <t>s</t>
    </r>
    <r>
      <rPr>
        <sz val="10"/>
        <rFont val="Arial"/>
        <family val="2"/>
      </rPr>
      <t>'</t>
    </r>
    <r>
      <rPr>
        <vertAlign val="subscript"/>
        <sz val="10"/>
        <rFont val="Arial"/>
        <family val="2"/>
      </rPr>
      <t>zp</t>
    </r>
    <r>
      <rPr>
        <sz val="10"/>
        <rFont val="Arial"/>
        <family val="2"/>
      </rPr>
      <t xml:space="preserve"> (kPa) (OCR=1)</t>
    </r>
  </si>
  <si>
    <r>
      <rPr>
        <sz val="10"/>
        <rFont val="Symbol"/>
        <family val="1"/>
      </rPr>
      <t>s</t>
    </r>
    <r>
      <rPr>
        <sz val="10"/>
        <rFont val="Arial"/>
        <family val="2"/>
      </rPr>
      <t>'</t>
    </r>
    <r>
      <rPr>
        <vertAlign val="subscript"/>
        <sz val="10"/>
        <rFont val="Arial"/>
        <family val="2"/>
      </rPr>
      <t>zp</t>
    </r>
    <r>
      <rPr>
        <sz val="10"/>
        <rFont val="Arial"/>
        <family val="2"/>
      </rPr>
      <t xml:space="preserve"> (kPa) (OCR=1.5)</t>
    </r>
  </si>
  <si>
    <r>
      <t>t</t>
    </r>
    <r>
      <rPr>
        <vertAlign val="subscript"/>
        <sz val="10"/>
        <color indexed="60"/>
        <rFont val="Arial"/>
        <family val="2"/>
      </rPr>
      <t>EOP,field</t>
    </r>
    <r>
      <rPr>
        <sz val="10"/>
        <color indexed="60"/>
        <rFont val="Arial"/>
        <family val="2"/>
      </rPr>
      <t>=</t>
    </r>
  </si>
  <si>
    <t xml:space="preserve">Time (yea) </t>
  </si>
  <si>
    <t xml:space="preserve">Time (day) </t>
  </si>
  <si>
    <r>
      <t>T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=c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t/d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(1 way drain)</t>
    </r>
  </si>
  <si>
    <r>
      <t>U</t>
    </r>
    <r>
      <rPr>
        <vertAlign val="subscript"/>
        <sz val="10"/>
        <rFont val="Arial"/>
        <family val="2"/>
      </rPr>
      <t>v</t>
    </r>
  </si>
  <si>
    <r>
      <t>U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*S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 (m)</t>
    </r>
  </si>
  <si>
    <r>
      <t>S</t>
    </r>
    <r>
      <rPr>
        <vertAlign val="subscript"/>
        <sz val="8"/>
        <rFont val="Arial"/>
        <family val="2"/>
      </rPr>
      <t>creep,f</t>
    </r>
    <r>
      <rPr>
        <sz val="10"/>
        <rFont val="Arial"/>
        <family val="2"/>
      </rPr>
      <t xml:space="preserve"> (m)</t>
    </r>
  </si>
  <si>
    <r>
      <t>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(m^2/day)</t>
    </r>
  </si>
  <si>
    <r>
      <t>S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  Settlement (m)</t>
    </r>
  </si>
  <si>
    <r>
      <t>A Method: S</t>
    </r>
    <r>
      <rPr>
        <vertAlign val="subscript"/>
        <sz val="10"/>
        <rFont val="Arial"/>
        <family val="2"/>
      </rPr>
      <t>totalA</t>
    </r>
    <r>
      <rPr>
        <sz val="10"/>
        <rFont val="Arial"/>
        <family val="2"/>
      </rPr>
      <t>=U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*S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+ S</t>
    </r>
    <r>
      <rPr>
        <vertAlign val="subscript"/>
        <sz val="10"/>
        <rFont val="Arial"/>
        <family val="2"/>
      </rPr>
      <t>secondary</t>
    </r>
  </si>
  <si>
    <t>Plaxis</t>
  </si>
  <si>
    <t>Consol</t>
  </si>
  <si>
    <t>Example 2: Computed values from Consol and Plaxis</t>
  </si>
  <si>
    <t>OCR=1</t>
  </si>
  <si>
    <t>OCR=1.5</t>
  </si>
  <si>
    <t>OCRT=1</t>
  </si>
  <si>
    <r>
      <t>e</t>
    </r>
    <r>
      <rPr>
        <vertAlign val="subscript"/>
        <sz val="10"/>
        <rFont val="Arial"/>
        <family val="2"/>
      </rPr>
      <t>o</t>
    </r>
  </si>
  <si>
    <r>
      <t>V=1+e</t>
    </r>
    <r>
      <rPr>
        <vertAlign val="subscript"/>
        <sz val="10"/>
        <rFont val="Arial"/>
        <family val="2"/>
      </rPr>
      <t>o</t>
    </r>
  </si>
  <si>
    <r>
      <t>B Method 1: S</t>
    </r>
    <r>
      <rPr>
        <vertAlign val="subscript"/>
        <sz val="10"/>
        <rFont val="Arial"/>
        <family val="2"/>
      </rPr>
      <t>totalB</t>
    </r>
    <r>
      <rPr>
        <sz val="10"/>
        <rFont val="Arial"/>
        <family val="2"/>
      </rPr>
      <t>=  U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*S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+S</t>
    </r>
    <r>
      <rPr>
        <vertAlign val="subscript"/>
        <sz val="10"/>
        <rFont val="Arial"/>
        <family val="2"/>
      </rPr>
      <t>creep</t>
    </r>
  </si>
  <si>
    <r>
      <t>B Method 2: S</t>
    </r>
    <r>
      <rPr>
        <vertAlign val="subscript"/>
        <sz val="10"/>
        <rFont val="Arial"/>
        <family val="2"/>
      </rPr>
      <t>totalB</t>
    </r>
    <r>
      <rPr>
        <sz val="10"/>
        <rFont val="Arial"/>
        <family val="2"/>
      </rPr>
      <t>=  U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*S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+S</t>
    </r>
    <r>
      <rPr>
        <vertAlign val="subscript"/>
        <sz val="10"/>
        <rFont val="Arial"/>
        <family val="2"/>
      </rPr>
      <t>creep</t>
    </r>
  </si>
  <si>
    <r>
      <t>B Method 3: S</t>
    </r>
    <r>
      <rPr>
        <vertAlign val="subscript"/>
        <sz val="10"/>
        <rFont val="Arial"/>
        <family val="2"/>
      </rPr>
      <t>totalB</t>
    </r>
    <r>
      <rPr>
        <sz val="10"/>
        <rFont val="Arial"/>
        <family val="2"/>
      </rPr>
      <t>=  U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*S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+S</t>
    </r>
    <r>
      <rPr>
        <vertAlign val="subscript"/>
        <sz val="10"/>
        <rFont val="Arial"/>
        <family val="2"/>
      </rPr>
      <t>creep</t>
    </r>
  </si>
  <si>
    <t>x</t>
  </si>
  <si>
    <r>
      <t>Note: The C</t>
    </r>
    <r>
      <rPr>
        <vertAlign val="subscript"/>
        <sz val="10"/>
        <color indexed="10"/>
        <rFont val="Symbol"/>
        <family val="1"/>
      </rPr>
      <t>a</t>
    </r>
    <r>
      <rPr>
        <sz val="10"/>
        <color indexed="10"/>
        <rFont val="Arial"/>
        <family val="2"/>
      </rPr>
      <t xml:space="preserve"> from NC state cannot be used for calculating "secondary" compression in OC state</t>
    </r>
  </si>
  <si>
    <r>
      <t>A value of C</t>
    </r>
    <r>
      <rPr>
        <vertAlign val="subscript"/>
        <sz val="10"/>
        <color indexed="10"/>
        <rFont val="Symbol"/>
        <family val="1"/>
      </rPr>
      <t>a</t>
    </r>
    <r>
      <rPr>
        <sz val="10"/>
        <color indexed="10"/>
        <rFont val="Arial"/>
        <family val="2"/>
      </rPr>
      <t xml:space="preserve"> from a test on the clay in OC state is needed.</t>
    </r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</si>
</sst>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E+00"/>
    <numFmt numFmtId="193" formatCode="0.00000_ "/>
    <numFmt numFmtId="194" formatCode="0.0000"/>
    <numFmt numFmtId="195" formatCode="#,##0.0_);[Red]\(#,##0.0\)"/>
    <numFmt numFmtId="196" formatCode="0.0000E+00"/>
    <numFmt numFmtId="197" formatCode="0.000"/>
    <numFmt numFmtId="198" formatCode="0.00000"/>
  </numFmts>
  <fonts count="8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ymbol"/>
      <family val="1"/>
    </font>
    <font>
      <sz val="10"/>
      <name val="GreekS"/>
      <family val="2"/>
    </font>
    <font>
      <vertAlign val="subscript"/>
      <sz val="10"/>
      <name val="Arial"/>
      <family val="2"/>
    </font>
    <font>
      <vertAlign val="subscript"/>
      <sz val="10"/>
      <name val="Symbol"/>
      <family val="1"/>
    </font>
    <font>
      <b/>
      <sz val="10"/>
      <name val="Arial"/>
      <family val="2"/>
    </font>
    <font>
      <sz val="9"/>
      <name val="宋体"/>
      <family val="0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63"/>
      <name val="Times New Roman"/>
      <family val="1"/>
    </font>
    <font>
      <sz val="9"/>
      <color indexed="63"/>
      <name val="Calibri"/>
      <family val="2"/>
    </font>
    <font>
      <sz val="10"/>
      <color indexed="60"/>
      <name val="Arial"/>
      <family val="2"/>
    </font>
    <font>
      <sz val="8.5"/>
      <color indexed="8"/>
      <name val="Times New Roman"/>
      <family val="1"/>
    </font>
    <font>
      <sz val="8.45"/>
      <color indexed="8"/>
      <name val="Times New Roman"/>
      <family val="1"/>
    </font>
    <font>
      <sz val="9.25"/>
      <color indexed="63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1"/>
    </font>
    <font>
      <sz val="14"/>
      <name val="Symbol"/>
      <family val="1"/>
    </font>
    <font>
      <vertAlign val="subscript"/>
      <sz val="14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vertAlign val="subscript"/>
      <sz val="10"/>
      <color indexed="60"/>
      <name val="Arial"/>
      <family val="2"/>
    </font>
    <font>
      <vertAlign val="subscript"/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63"/>
      <name val="Times New Roman"/>
      <family val="1"/>
    </font>
    <font>
      <vertAlign val="subscript"/>
      <sz val="11"/>
      <color indexed="63"/>
      <name val="Times New Roman"/>
      <family val="1"/>
    </font>
    <font>
      <vertAlign val="superscript"/>
      <sz val="11"/>
      <color indexed="63"/>
      <name val="Times New Roman"/>
      <family val="1"/>
    </font>
    <font>
      <strike/>
      <sz val="10"/>
      <color indexed="10"/>
      <name val="Arial"/>
      <family val="2"/>
    </font>
    <font>
      <vertAlign val="subscript"/>
      <sz val="10"/>
      <color indexed="10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12"/>
      <color rgb="FF0000FF"/>
      <name val="Arial"/>
      <family val="2"/>
    </font>
    <font>
      <b/>
      <sz val="14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strike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wrapText="1"/>
    </xf>
    <xf numFmtId="11" fontId="0" fillId="0" borderId="0" xfId="0" applyNumberFormat="1" applyAlignment="1">
      <alignment/>
    </xf>
    <xf numFmtId="0" fontId="8" fillId="0" borderId="0" xfId="0" applyFont="1" applyAlignment="1">
      <alignment/>
    </xf>
    <xf numFmtId="0" fontId="7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9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1" fontId="0" fillId="0" borderId="10" xfId="0" applyNumberFormat="1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2" xfId="0" applyBorder="1" applyAlignment="1">
      <alignment wrapText="1"/>
    </xf>
    <xf numFmtId="0" fontId="7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wrapText="1" shrinkToFit="1"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11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74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19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19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92" fontId="0" fillId="0" borderId="10" xfId="0" applyNumberFormat="1" applyFont="1" applyBorder="1" applyAlignment="1">
      <alignment/>
    </xf>
    <xf numFmtId="192" fontId="0" fillId="0" borderId="10" xfId="0" applyNumberFormat="1" applyBorder="1" applyAlignment="1">
      <alignment/>
    </xf>
    <xf numFmtId="192" fontId="0" fillId="0" borderId="0" xfId="0" applyNumberFormat="1" applyAlignment="1">
      <alignment/>
    </xf>
    <xf numFmtId="192" fontId="73" fillId="0" borderId="10" xfId="0" applyNumberFormat="1" applyFont="1" applyBorder="1" applyAlignment="1">
      <alignment/>
    </xf>
    <xf numFmtId="192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194" fontId="74" fillId="34" borderId="0" xfId="0" applyNumberFormat="1" applyFont="1" applyFill="1" applyBorder="1" applyAlignment="1">
      <alignment/>
    </xf>
    <xf numFmtId="194" fontId="75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7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9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192" fontId="0" fillId="0" borderId="0" xfId="0" applyNumberFormat="1" applyFont="1" applyAlignment="1">
      <alignment/>
    </xf>
    <xf numFmtId="197" fontId="0" fillId="0" borderId="0" xfId="0" applyNumberFormat="1" applyAlignment="1">
      <alignment/>
    </xf>
    <xf numFmtId="19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75" fillId="0" borderId="0" xfId="0" applyFont="1" applyAlignment="1">
      <alignment/>
    </xf>
    <xf numFmtId="0" fontId="75" fillId="0" borderId="0" xfId="0" applyFont="1" applyFill="1" applyBorder="1" applyAlignment="1">
      <alignment/>
    </xf>
    <xf numFmtId="197" fontId="75" fillId="0" borderId="0" xfId="0" applyNumberFormat="1" applyFont="1" applyAlignment="1">
      <alignment/>
    </xf>
    <xf numFmtId="197" fontId="0" fillId="0" borderId="10" xfId="0" applyNumberFormat="1" applyFont="1" applyBorder="1" applyAlignment="1">
      <alignment/>
    </xf>
    <xf numFmtId="197" fontId="0" fillId="33" borderId="10" xfId="0" applyNumberFormat="1" applyFill="1" applyBorder="1" applyAlignment="1">
      <alignment/>
    </xf>
    <xf numFmtId="197" fontId="8" fillId="0" borderId="10" xfId="0" applyNumberFormat="1" applyFont="1" applyBorder="1" applyAlignment="1">
      <alignment/>
    </xf>
    <xf numFmtId="197" fontId="0" fillId="0" borderId="10" xfId="0" applyNumberFormat="1" applyBorder="1" applyAlignment="1">
      <alignment/>
    </xf>
    <xf numFmtId="197" fontId="8" fillId="0" borderId="0" xfId="0" applyNumberFormat="1" applyFont="1" applyBorder="1" applyAlignment="1">
      <alignment/>
    </xf>
    <xf numFmtId="197" fontId="1" fillId="0" borderId="0" xfId="0" applyNumberFormat="1" applyFont="1" applyBorder="1" applyAlignment="1">
      <alignment/>
    </xf>
    <xf numFmtId="197" fontId="0" fillId="0" borderId="10" xfId="0" applyNumberFormat="1" applyFont="1" applyBorder="1" applyAlignment="1">
      <alignment wrapText="1"/>
    </xf>
    <xf numFmtId="197" fontId="73" fillId="0" borderId="10" xfId="0" applyNumberFormat="1" applyFont="1" applyBorder="1" applyAlignment="1">
      <alignment/>
    </xf>
    <xf numFmtId="194" fontId="0" fillId="0" borderId="10" xfId="0" applyNumberFormat="1" applyFont="1" applyBorder="1" applyAlignment="1">
      <alignment/>
    </xf>
    <xf numFmtId="194" fontId="0" fillId="0" borderId="10" xfId="0" applyNumberFormat="1" applyBorder="1" applyAlignment="1">
      <alignment/>
    </xf>
    <xf numFmtId="194" fontId="0" fillId="0" borderId="0" xfId="0" applyNumberFormat="1" applyAlignment="1">
      <alignment/>
    </xf>
    <xf numFmtId="194" fontId="0" fillId="0" borderId="10" xfId="0" applyNumberFormat="1" applyFont="1" applyBorder="1" applyAlignment="1">
      <alignment wrapText="1"/>
    </xf>
    <xf numFmtId="197" fontId="1" fillId="0" borderId="0" xfId="0" applyNumberFormat="1" applyFont="1" applyAlignment="1">
      <alignment/>
    </xf>
    <xf numFmtId="197" fontId="0" fillId="0" borderId="10" xfId="0" applyNumberFormat="1" applyFont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8" fillId="0" borderId="0" xfId="0" applyNumberFormat="1" applyFont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0" xfId="0" applyNumberFormat="1" applyFill="1" applyBorder="1" applyAlignment="1">
      <alignment/>
    </xf>
    <xf numFmtId="197" fontId="73" fillId="0" borderId="0" xfId="0" applyNumberFormat="1" applyFont="1" applyAlignment="1">
      <alignment/>
    </xf>
    <xf numFmtId="0" fontId="73" fillId="0" borderId="0" xfId="0" applyFont="1" applyFill="1" applyBorder="1" applyAlignment="1">
      <alignment/>
    </xf>
    <xf numFmtId="197" fontId="74" fillId="0" borderId="0" xfId="0" applyNumberFormat="1" applyFont="1" applyBorder="1" applyAlignment="1">
      <alignment/>
    </xf>
    <xf numFmtId="197" fontId="73" fillId="0" borderId="0" xfId="0" applyNumberFormat="1" applyFont="1" applyBorder="1" applyAlignment="1">
      <alignment/>
    </xf>
    <xf numFmtId="0" fontId="0" fillId="0" borderId="14" xfId="0" applyFill="1" applyBorder="1" applyAlignment="1">
      <alignment wrapText="1"/>
    </xf>
    <xf numFmtId="194" fontId="0" fillId="0" borderId="0" xfId="0" applyNumberFormat="1" applyAlignment="1">
      <alignment vertical="center"/>
    </xf>
    <xf numFmtId="194" fontId="0" fillId="33" borderId="0" xfId="0" applyNumberFormat="1" applyFill="1" applyAlignment="1">
      <alignment vertical="center"/>
    </xf>
    <xf numFmtId="0" fontId="79" fillId="0" borderId="0" xfId="0" applyFont="1" applyAlignment="1">
      <alignment/>
    </xf>
    <xf numFmtId="0" fontId="0" fillId="34" borderId="10" xfId="0" applyFill="1" applyBorder="1" applyAlignment="1">
      <alignment/>
    </xf>
    <xf numFmtId="11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194" fontId="0" fillId="34" borderId="10" xfId="0" applyNumberFormat="1" applyFill="1" applyBorder="1" applyAlignment="1">
      <alignment/>
    </xf>
    <xf numFmtId="0" fontId="8" fillId="34" borderId="13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24" fillId="34" borderId="0" xfId="0" applyFont="1" applyFill="1" applyAlignment="1">
      <alignment/>
    </xf>
    <xf numFmtId="0" fontId="1" fillId="34" borderId="0" xfId="0" applyNumberFormat="1" applyFont="1" applyFill="1" applyBorder="1" applyAlignment="1">
      <alignment/>
    </xf>
    <xf numFmtId="0" fontId="0" fillId="34" borderId="10" xfId="0" applyFill="1" applyBorder="1" applyAlignment="1">
      <alignment wrapText="1" shrinkToFi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97" fontId="0" fillId="34" borderId="10" xfId="0" applyNumberFormat="1" applyFont="1" applyFill="1" applyBorder="1" applyAlignment="1">
      <alignment/>
    </xf>
    <xf numFmtId="197" fontId="0" fillId="34" borderId="10" xfId="0" applyNumberFormat="1" applyFill="1" applyBorder="1" applyAlignment="1">
      <alignment/>
    </xf>
    <xf numFmtId="197" fontId="8" fillId="34" borderId="1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197" fontId="8" fillId="34" borderId="0" xfId="0" applyNumberFormat="1" applyFont="1" applyFill="1" applyBorder="1" applyAlignment="1">
      <alignment/>
    </xf>
    <xf numFmtId="197" fontId="1" fillId="34" borderId="0" xfId="0" applyNumberFormat="1" applyFont="1" applyFill="1" applyBorder="1" applyAlignment="1">
      <alignment/>
    </xf>
    <xf numFmtId="197" fontId="0" fillId="34" borderId="10" xfId="0" applyNumberFormat="1" applyFont="1" applyFill="1" applyBorder="1" applyAlignment="1">
      <alignment wrapText="1"/>
    </xf>
    <xf numFmtId="0" fontId="8" fillId="34" borderId="0" xfId="0" applyFont="1" applyFill="1" applyAlignment="1">
      <alignment/>
    </xf>
    <xf numFmtId="197" fontId="0" fillId="34" borderId="0" xfId="0" applyNumberFormat="1" applyFill="1" applyBorder="1" applyAlignment="1">
      <alignment/>
    </xf>
    <xf numFmtId="0" fontId="8" fillId="34" borderId="11" xfId="0" applyFont="1" applyFill="1" applyBorder="1" applyAlignment="1">
      <alignment/>
    </xf>
    <xf numFmtId="0" fontId="1" fillId="34" borderId="0" xfId="0" applyFont="1" applyFill="1" applyAlignment="1">
      <alignment/>
    </xf>
    <xf numFmtId="2" fontId="0" fillId="34" borderId="10" xfId="0" applyNumberForma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0" fillId="34" borderId="0" xfId="0" applyNumberFormat="1" applyFill="1" applyAlignment="1">
      <alignment/>
    </xf>
    <xf numFmtId="2" fontId="0" fillId="34" borderId="0" xfId="0" applyNumberFormat="1" applyFill="1" applyBorder="1" applyAlignment="1">
      <alignment/>
    </xf>
    <xf numFmtId="2" fontId="0" fillId="34" borderId="11" xfId="0" applyNumberFormat="1" applyFill="1" applyBorder="1" applyAlignment="1">
      <alignment/>
    </xf>
    <xf numFmtId="2" fontId="8" fillId="34" borderId="0" xfId="0" applyNumberFormat="1" applyFont="1" applyFill="1" applyAlignment="1">
      <alignment/>
    </xf>
    <xf numFmtId="2" fontId="0" fillId="34" borderId="10" xfId="0" applyNumberFormat="1" applyFont="1" applyFill="1" applyBorder="1" applyAlignment="1">
      <alignment wrapText="1"/>
    </xf>
    <xf numFmtId="0" fontId="74" fillId="0" borderId="10" xfId="0" applyFont="1" applyBorder="1" applyAlignment="1">
      <alignment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/>
    </xf>
    <xf numFmtId="0" fontId="8" fillId="0" borderId="14" xfId="0" applyFont="1" applyBorder="1" applyAlignment="1">
      <alignment/>
    </xf>
    <xf numFmtId="197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0" fillId="0" borderId="0" xfId="0" applyFont="1" applyAlignment="1">
      <alignment/>
    </xf>
    <xf numFmtId="194" fontId="80" fillId="0" borderId="0" xfId="0" applyNumberFormat="1" applyFont="1" applyAlignment="1">
      <alignment/>
    </xf>
    <xf numFmtId="194" fontId="7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B method 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2'!$Q$51:$Q$71</c:f>
              <c:numCache/>
            </c:numRef>
          </c:xVal>
          <c:yVal>
            <c:numRef>
              <c:f>'Example 2'!$X$51:$X$71</c:f>
              <c:numCache/>
            </c:numRef>
          </c:yVal>
          <c:smooth val="1"/>
        </c:ser>
        <c:ser>
          <c:idx val="2"/>
          <c:order val="1"/>
          <c:tx>
            <c:v>B method 2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'Example 2'!$Q$51:$Q$71</c:f>
              <c:numCache/>
            </c:numRef>
          </c:xVal>
          <c:yVal>
            <c:numRef>
              <c:f>'Example 2'!$Y$51:$Y$71</c:f>
              <c:numCache/>
            </c:numRef>
          </c:yVal>
          <c:smooth val="1"/>
        </c:ser>
        <c:ser>
          <c:idx val="5"/>
          <c:order val="2"/>
          <c:tx>
            <c:v>B Method 3</c:v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'Example 2'!$Q$51:$Q$71</c:f>
              <c:numCache/>
            </c:numRef>
          </c:xVal>
          <c:yVal>
            <c:numRef>
              <c:f>'Example 2'!$Z$51:$Z$71</c:f>
              <c:numCache/>
            </c:numRef>
          </c:yVal>
          <c:smooth val="1"/>
        </c:ser>
        <c:ser>
          <c:idx val="1"/>
          <c:order val="3"/>
          <c:tx>
            <c:v>Hypothesis A method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2'!$Q$51:$Q$71</c:f>
              <c:numCache/>
            </c:numRef>
          </c:xVal>
          <c:yVal>
            <c:numRef>
              <c:f>'Example 2'!$W$51:$W$71</c:f>
              <c:numCache/>
            </c:numRef>
          </c:yVal>
          <c:smooth val="1"/>
        </c:ser>
        <c:ser>
          <c:idx val="4"/>
          <c:order val="4"/>
          <c:tx>
            <c:v>Consol simulation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'Example 2'!$AM$7:$AM$364</c:f>
              <c:numCache/>
            </c:numRef>
          </c:xVal>
          <c:yVal>
            <c:numRef>
              <c:f>'Example 2'!$AN$7:$AN$364</c:f>
              <c:numCache/>
            </c:numRef>
          </c:yVal>
          <c:smooth val="1"/>
        </c:ser>
        <c:ser>
          <c:idx val="3"/>
          <c:order val="5"/>
          <c:tx>
            <c:v>Plaxis simulation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'Example 2'!$BH$10:$BH$29</c:f>
              <c:numCache/>
            </c:numRef>
          </c:xVal>
          <c:yVal>
            <c:numRef>
              <c:f>'Example 2'!$BI$10:$BI$29</c:f>
              <c:numCache/>
            </c:numRef>
          </c:yVal>
          <c:smooth val="1"/>
        </c:ser>
        <c:axId val="9223538"/>
        <c:axId val="52797131"/>
      </c:scatterChart>
      <c:valAx>
        <c:axId val="9223538"/>
        <c:scaling>
          <c:logBase val="10"/>
          <c:orientation val="minMax"/>
          <c:max val="1000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Time (day)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797131"/>
        <c:crosses val="autoZero"/>
        <c:crossBetween val="midCat"/>
        <c:dispUnits/>
      </c:valAx>
      <c:valAx>
        <c:axId val="52797131"/>
        <c:scaling>
          <c:orientation val="maxMin"/>
          <c:max val="1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Settlement (m)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.0_);[Red]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223538"/>
        <c:crossesAt val="0.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B method 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2'!$Q$7:$Q$28</c:f>
              <c:numCache/>
            </c:numRef>
          </c:xVal>
          <c:yVal>
            <c:numRef>
              <c:f>'Example 2'!$X$7:$X$28</c:f>
              <c:numCache/>
            </c:numRef>
          </c:yVal>
          <c:smooth val="1"/>
        </c:ser>
        <c:ser>
          <c:idx val="5"/>
          <c:order val="1"/>
          <c:tx>
            <c:v>B Method 2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'Example 2'!$Q$7:$Q$28</c:f>
              <c:numCache/>
            </c:numRef>
          </c:xVal>
          <c:yVal>
            <c:numRef>
              <c:f>'Example 2'!$Y$7:$Y$28</c:f>
              <c:numCache/>
            </c:numRef>
          </c:yVal>
          <c:smooth val="1"/>
        </c:ser>
        <c:ser>
          <c:idx val="7"/>
          <c:order val="2"/>
          <c:tx>
            <c:v>B Method 3</c:v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808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'Example 2'!$Q$7:$Q$28</c:f>
              <c:numCache/>
            </c:numRef>
          </c:xVal>
          <c:yVal>
            <c:numRef>
              <c:f>'Example 2'!$Z$7:$Z$28</c:f>
              <c:numCache/>
            </c:numRef>
          </c:yVal>
          <c:smooth val="1"/>
        </c:ser>
        <c:ser>
          <c:idx val="1"/>
          <c:order val="3"/>
          <c:tx>
            <c:v>Hypothesis A method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2'!$Q$7:$Q$28</c:f>
              <c:numCache/>
            </c:numRef>
          </c:xVal>
          <c:yVal>
            <c:numRef>
              <c:f>'Example 2'!$W$7:$W$28</c:f>
              <c:numCache/>
            </c:numRef>
          </c:yVal>
          <c:smooth val="1"/>
        </c:ser>
        <c:ser>
          <c:idx val="4"/>
          <c:order val="4"/>
          <c:tx>
            <c:v>Consol simulation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'Example 2'!$AH$7:$AH$321</c:f>
              <c:numCache/>
            </c:numRef>
          </c:xVal>
          <c:yVal>
            <c:numRef>
              <c:f>'Example 2'!$AI$7:$AI$321</c:f>
              <c:numCache/>
            </c:numRef>
          </c:yVal>
          <c:smooth val="1"/>
        </c:ser>
        <c:ser>
          <c:idx val="3"/>
          <c:order val="5"/>
          <c:tx>
            <c:v>Plaxis simulation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'Example 2'!$BX$10:$BX$36</c:f>
              <c:numCache/>
            </c:numRef>
          </c:xVal>
          <c:yVal>
            <c:numRef>
              <c:f>'Example 2'!$BY$10:$BY$36</c:f>
              <c:numCache/>
            </c:numRef>
          </c:yVal>
          <c:smooth val="1"/>
        </c:ser>
        <c:axId val="15274064"/>
        <c:axId val="64345105"/>
      </c:scatterChart>
      <c:valAx>
        <c:axId val="15274064"/>
        <c:scaling>
          <c:logBase val="10"/>
          <c:orientation val="minMax"/>
          <c:max val="1000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Time (day)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345105"/>
        <c:crosses val="autoZero"/>
        <c:crossBetween val="midCat"/>
        <c:dispUnits/>
      </c:valAx>
      <c:valAx>
        <c:axId val="6434510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Settlement (m)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.0_);[Red]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27406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1"/>
          <c:order val="0"/>
          <c:tx>
            <c:v>m_v (1/kPa)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'Example 2'!$A$52:$A$55</c:f>
              <c:numCache/>
            </c:numRef>
          </c:xVal>
          <c:yVal>
            <c:numRef>
              <c:f>'Example 2'!$C$52:$C$55</c:f>
              <c:numCache/>
            </c:numRef>
          </c:yVal>
          <c:smooth val="1"/>
        </c:ser>
        <c:ser>
          <c:idx val="2"/>
          <c:order val="1"/>
          <c:tx>
            <c:v>c_v (m^2/day)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'Example 2'!$A$52:$A$55</c:f>
              <c:numCache/>
            </c:numRef>
          </c:xVal>
          <c:yVal>
            <c:numRef>
              <c:f>'Example 2'!$D$52:$D$55</c:f>
              <c:numCache/>
            </c:numRef>
          </c:yVal>
          <c:smooth val="1"/>
        </c:ser>
        <c:axId val="31179998"/>
        <c:axId val="2686791"/>
      </c:scatterChart>
      <c:valAx>
        <c:axId val="31179998"/>
        <c:scaling>
          <c:orientation val="minMax"/>
          <c:max val="8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Number of layers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86791"/>
        <c:crosses val="autoZero"/>
        <c:crossBetween val="midCat"/>
        <c:dispUnits/>
      </c:valAx>
      <c:valAx>
        <c:axId val="2686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m</a:t>
                </a:r>
                <a:r>
                  <a:rPr lang="en-US" cap="none" sz="1100" b="0" i="0" u="none" baseline="-25000">
                    <a:solidFill>
                      <a:srgbClr val="333333"/>
                    </a:solidFill>
                  </a:rPr>
                  <a:t>v</a:t>
                </a: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  (1/kPa) or c</a:t>
                </a:r>
                <a:r>
                  <a:rPr lang="en-US" cap="none" sz="1100" b="0" i="0" u="none" baseline="-25000">
                    <a:solidFill>
                      <a:srgbClr val="333333"/>
                    </a:solidFill>
                  </a:rPr>
                  <a:t>v</a:t>
                </a: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 (m</a:t>
                </a:r>
                <a:r>
                  <a:rPr lang="en-US" cap="none" sz="1100" b="0" i="0" u="none" baseline="30000">
                    <a:solidFill>
                      <a:srgbClr val="333333"/>
                    </a:solidFill>
                  </a:rPr>
                  <a:t>2</a:t>
                </a: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/day)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17999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Strain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'Example 2'!$A$132:$A$135</c:f>
              <c:numCache/>
            </c:numRef>
          </c:xVal>
          <c:yVal>
            <c:numRef>
              <c:f>'Example 2'!$B$132:$B$135</c:f>
              <c:numCache/>
            </c:numRef>
          </c:yVal>
          <c:smooth val="1"/>
        </c:ser>
        <c:ser>
          <c:idx val="3"/>
          <c:order val="1"/>
          <c:tx>
            <c:v>S_f (m)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'Example 2'!$A$132:$A$135</c:f>
              <c:numCache/>
            </c:numRef>
          </c:xVal>
          <c:yVal>
            <c:numRef>
              <c:f>'Example 2'!$E$132:$E$135</c:f>
              <c:numCache/>
            </c:numRef>
          </c:yVal>
          <c:smooth val="1"/>
        </c:ser>
        <c:axId val="34928284"/>
        <c:axId val="51414509"/>
      </c:scatterChart>
      <c:valAx>
        <c:axId val="34928284"/>
        <c:scaling>
          <c:orientation val="minMax"/>
          <c:max val="8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Number of layer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414509"/>
        <c:crosses val="autoZero"/>
        <c:crossBetween val="midCat"/>
        <c:dispUnits/>
      </c:valAx>
      <c:valAx>
        <c:axId val="51414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Strain or S</a:t>
                </a:r>
                <a:r>
                  <a:rPr lang="en-US" cap="none" sz="1100" b="0" i="0" u="none" baseline="-25000">
                    <a:solidFill>
                      <a:srgbClr val="333333"/>
                    </a:solidFill>
                  </a:rPr>
                  <a:t>f</a:t>
                </a: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92828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1"/>
          <c:order val="0"/>
          <c:tx>
            <c:v>m_v (1/kPa)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'Example 2'!$A$132:$A$135</c:f>
              <c:numCache/>
            </c:numRef>
          </c:xVal>
          <c:yVal>
            <c:numRef>
              <c:f>'Example 2'!$C$132:$C$135</c:f>
              <c:numCache/>
            </c:numRef>
          </c:yVal>
          <c:smooth val="1"/>
        </c:ser>
        <c:ser>
          <c:idx val="2"/>
          <c:order val="1"/>
          <c:tx>
            <c:v>c_v (m^2/day)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'Example 2'!$A$132:$A$135</c:f>
              <c:numCache/>
            </c:numRef>
          </c:xVal>
          <c:yVal>
            <c:numRef>
              <c:f>'Example 2'!$D$132:$D$135</c:f>
              <c:numCache/>
            </c:numRef>
          </c:yVal>
          <c:smooth val="1"/>
        </c:ser>
        <c:axId val="64408842"/>
        <c:axId val="32008579"/>
      </c:scatterChart>
      <c:valAx>
        <c:axId val="64408842"/>
        <c:scaling>
          <c:orientation val="minMax"/>
          <c:max val="8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Number of layers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008579"/>
        <c:crosses val="autoZero"/>
        <c:crossBetween val="midCat"/>
        <c:dispUnits/>
      </c:valAx>
      <c:valAx>
        <c:axId val="32008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mv (1/kPa) or c</a:t>
                </a:r>
                <a:r>
                  <a:rPr lang="en-US" cap="none" sz="1100" b="0" i="0" u="none" baseline="-25000">
                    <a:solidFill>
                      <a:srgbClr val="333333"/>
                    </a:solidFill>
                  </a:rPr>
                  <a:t>v</a:t>
                </a: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 (m</a:t>
                </a:r>
                <a:r>
                  <a:rPr lang="en-US" cap="none" sz="1100" b="0" i="0" u="none" baseline="30000">
                    <a:solidFill>
                      <a:srgbClr val="333333"/>
                    </a:solidFill>
                  </a:rPr>
                  <a:t>2</a:t>
                </a: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/day)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40884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Strain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'Example 2'!$A$52:$A$55</c:f>
              <c:numCache/>
            </c:numRef>
          </c:xVal>
          <c:yVal>
            <c:numRef>
              <c:f>'Example 2'!$B$52:$B$55</c:f>
              <c:numCache/>
            </c:numRef>
          </c:yVal>
          <c:smooth val="1"/>
        </c:ser>
        <c:ser>
          <c:idx val="3"/>
          <c:order val="1"/>
          <c:tx>
            <c:v>S_f (m)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'Example 2'!$A$52:$A$55</c:f>
              <c:numCache/>
            </c:numRef>
          </c:xVal>
          <c:yVal>
            <c:numRef>
              <c:f>'Example 2'!$E$52:$E$55</c:f>
              <c:numCache/>
            </c:numRef>
          </c:yVal>
          <c:smooth val="1"/>
        </c:ser>
        <c:axId val="13458344"/>
        <c:axId val="40740745"/>
      </c:scatterChart>
      <c:valAx>
        <c:axId val="13458344"/>
        <c:scaling>
          <c:orientation val="minMax"/>
          <c:max val="8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Number of layer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740745"/>
        <c:crosses val="autoZero"/>
        <c:crossBetween val="midCat"/>
        <c:dispUnits/>
      </c:valAx>
      <c:valAx>
        <c:axId val="40740745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Strain or S</a:t>
                </a:r>
                <a:r>
                  <a:rPr lang="en-US" cap="none" sz="1100" b="0" i="0" u="none" baseline="-25000">
                    <a:solidFill>
                      <a:srgbClr val="333333"/>
                    </a:solidFill>
                  </a:rPr>
                  <a:t>f</a:t>
                </a: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458344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0.12525</cdr:x>
      <cdr:y>0.25175</cdr:y>
    </cdr:from>
    <cdr:to>
      <cdr:x>0.386</cdr:x>
      <cdr:y>0.399</cdr:y>
    </cdr:to>
    <cdr:sp>
      <cdr:nvSpPr>
        <cdr:cNvPr id="1" name="TextBox 18"/>
        <cdr:cNvSpPr txBox="1">
          <a:spLocks noChangeArrowheads="1"/>
        </cdr:cNvSpPr>
      </cdr:nvSpPr>
      <c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Layer thickness=4m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OCR=1.5</a:t>
          </a:r>
        </a:p>
      </cdr:txBody>
    </cdr:sp>
  </cdr:relSizeAnchor>
  <cdr:relSizeAnchor xmlns:cdr="http://schemas.openxmlformats.org/drawingml/2006/chartDrawing">
    <cdr:from>
      <cdr:x>0.09025</cdr:x>
      <cdr:y>0.14775</cdr:y>
    </cdr:from>
    <cdr:to>
      <cdr:x>0.13575</cdr:x>
      <cdr:y>0.23325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(b)</a:t>
          </a:r>
        </a:p>
      </cdr:txBody>
    </cdr:sp>
  </cdr:relSizeAnchor>
  <cdr:relSizeAnchor xmlns:cdr="http://schemas.openxmlformats.org/drawingml/2006/chartDrawing">
    <cdr:from>
      <cdr:x>0.55125</cdr:x>
      <cdr:y>0.301</cdr:y>
    </cdr:from>
    <cdr:to>
      <cdr:x>0.616</cdr:x>
      <cdr:y>0.40825</cdr:y>
    </cdr:to>
    <cdr:sp>
      <cdr:nvSpPr>
        <cdr:cNvPr id="3" name="Straight Arrow Connector 4"/>
        <cdr:cNvSpPr>
          <a:spLocks/>
        </cdr:cNvSpPr>
      </cdr:nvSpPr>
      <cdr:spPr>
        <a:xfrm flipV="1">
          <a:off x="9525" y="0"/>
          <a:ext cx="0" cy="0"/>
        </a:xfrm>
        <a:prstGeom prst="straightConnector1">
          <a:avLst/>
        </a:prstGeom>
        <a:noFill/>
        <a:ln w="6350" cmpd="sng">
          <a:solidFill>
            <a:srgbClr val="C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0.498</cdr:x>
      <cdr:y>0.4125</cdr:y>
    </cdr:from>
    <cdr:to>
      <cdr:x>0.5925</cdr:x>
      <cdr:y>0.45725</cdr:y>
    </cdr:to>
    <cdr:pic>
      <cdr:nvPicPr>
        <cdr:cNvPr id="4" name="Object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0.9075</cdr:x>
      <cdr:y>0.1455</cdr:y>
    </cdr:from>
    <cdr:to>
      <cdr:x>0.95225</cdr:x>
      <cdr:y>0.2225</cdr:y>
    </cdr:to>
    <cdr:sp>
      <cdr:nvSpPr>
        <cdr:cNvPr id="1" name="TextBox 4"/>
        <cdr:cNvSpPr txBox="1">
          <a:spLocks noChangeArrowheads="1"/>
        </cdr:cNvSpPr>
      </cdr:nvSpPr>
      <cdr:spPr>
        <a:xfrm>
          <a:off x="95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(a)</a:t>
          </a:r>
        </a:p>
      </cdr:txBody>
    </cdr:sp>
  </cdr:relSizeAnchor>
  <cdr:relSizeAnchor xmlns:cdr="http://schemas.openxmlformats.org/drawingml/2006/chartDrawing">
    <cdr:from>
      <cdr:x>0.1205</cdr:x>
      <cdr:y>0.285</cdr:y>
    </cdr:from>
    <cdr:to>
      <cdr:x>0.3775</cdr:x>
      <cdr:y>0.432</cdr:y>
    </cdr:to>
    <cdr:sp>
      <cdr:nvSpPr>
        <cdr:cNvPr id="2" name="TextBox 18"/>
        <cdr:cNvSpPr txBox="1">
          <a:spLocks noChangeArrowheads="1"/>
        </cdr:cNvSpPr>
      </cdr:nvSpPr>
      <c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Layer thickness=4m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OCR=1</a:t>
          </a:r>
        </a:p>
      </cdr:txBody>
    </cdr:sp>
  </cdr:relSizeAnchor>
  <cdr:relSizeAnchor xmlns:cdr="http://schemas.openxmlformats.org/drawingml/2006/chartDrawing">
    <cdr:from>
      <cdr:x>0.0905</cdr:x>
      <cdr:y>0.16575</cdr:y>
    </cdr:from>
    <cdr:to>
      <cdr:x>0.13625</cdr:x>
      <cdr:y>0.2495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(a)</a:t>
          </a:r>
        </a:p>
      </cdr:txBody>
    </cdr:sp>
  </cdr:relSizeAnchor>
  <cdr:relSizeAnchor xmlns:cdr="http://schemas.openxmlformats.org/drawingml/2006/chartDrawing">
    <cdr:from>
      <cdr:x>0.54675</cdr:x>
      <cdr:y>0.3095</cdr:y>
    </cdr:from>
    <cdr:to>
      <cdr:x>0.6105</cdr:x>
      <cdr:y>0.417</cdr:y>
    </cdr:to>
    <cdr:sp>
      <cdr:nvSpPr>
        <cdr:cNvPr id="4" name="Straight Arrow Connector 6"/>
        <cdr:cNvSpPr>
          <a:spLocks/>
        </cdr:cNvSpPr>
      </cdr:nvSpPr>
      <cdr:spPr>
        <a:xfrm flipV="1">
          <a:off x="9525" y="0"/>
          <a:ext cx="0" cy="0"/>
        </a:xfrm>
        <a:prstGeom prst="straightConnector1">
          <a:avLst/>
        </a:prstGeom>
        <a:noFill/>
        <a:ln w="6350" cmpd="sng">
          <a:solidFill>
            <a:srgbClr val="C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0.4945</cdr:x>
      <cdr:y>0.41425</cdr:y>
    </cdr:from>
    <cdr:to>
      <cdr:x>0.588</cdr:x>
      <cdr:y>0.45925</cdr:y>
    </cdr:to>
    <cdr:pic>
      <cdr:nvPicPr>
        <cdr:cNvPr id="5" name="Object 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0.09775</cdr:x>
      <cdr:y>0</cdr:y>
    </cdr:from>
    <cdr:to>
      <cdr:x>0.153</cdr:x>
      <cdr:y>0.1165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(b)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0.11225</cdr:x>
      <cdr:y>0.0015</cdr:y>
    </cdr:from>
    <cdr:to>
      <cdr:x>0.1675</cdr:x>
      <cdr:y>0.1105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(a)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</cdr:y>
    </cdr:from>
    <cdr:to>
      <cdr:x>0.1575</cdr:x>
      <cdr:y>0.1065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(b)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202</xdr:row>
      <xdr:rowOff>66675</xdr:rowOff>
    </xdr:from>
    <xdr:to>
      <xdr:col>4</xdr:col>
      <xdr:colOff>361950</xdr:colOff>
      <xdr:row>205</xdr:row>
      <xdr:rowOff>133350</xdr:rowOff>
    </xdr:to>
    <xdr:grpSp>
      <xdr:nvGrpSpPr>
        <xdr:cNvPr id="1" name="Group 15"/>
        <xdr:cNvGrpSpPr>
          <a:grpSpLocks/>
        </xdr:cNvGrpSpPr>
      </xdr:nvGrpSpPr>
      <xdr:grpSpPr>
        <a:xfrm>
          <a:off x="2276475" y="34671000"/>
          <a:ext cx="704850" cy="523875"/>
          <a:chOff x="0" y="373380"/>
          <a:chExt cx="716280" cy="563880"/>
        </a:xfrm>
        <a:solidFill>
          <a:srgbClr val="FFFFFF"/>
        </a:solidFill>
      </xdr:grpSpPr>
      <xdr:grpSp>
        <xdr:nvGrpSpPr>
          <xdr:cNvPr id="2" name="Group 14"/>
          <xdr:cNvGrpSpPr>
            <a:grpSpLocks/>
          </xdr:cNvGrpSpPr>
        </xdr:nvGrpSpPr>
        <xdr:grpSpPr>
          <a:xfrm>
            <a:off x="79865" y="376199"/>
            <a:ext cx="88282" cy="20159"/>
            <a:chOff x="7620" y="480060"/>
            <a:chExt cx="716280" cy="563880"/>
          </a:xfrm>
          <a:solidFill>
            <a:srgbClr val="FFFFFF"/>
          </a:solidFill>
        </xdr:grpSpPr>
        <xdr:graphicFrame>
          <xdr:nvGraphicFramePr>
            <xdr:cNvPr id="3" name="图表 1"/>
            <xdr:cNvGraphicFramePr/>
          </xdr:nvGraphicFramePr>
          <xdr:xfrm>
            <a:off x="9232" y="494439"/>
            <a:ext cx="156686" cy="859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TextBox 2"/>
            <xdr:cNvSpPr txBox="1">
              <a:spLocks noChangeArrowheads="1"/>
            </xdr:cNvSpPr>
          </xdr:nvSpPr>
          <xdr:spPr>
            <a:xfrm>
              <a:off x="135655" y="481470"/>
              <a:ext cx="9491" cy="1156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(b)</a:t>
              </a:r>
            </a:p>
          </xdr:txBody>
        </xdr:sp>
        <xdr:graphicFrame>
          <xdr:nvGraphicFramePr>
            <xdr:cNvPr id="5" name="图表 1"/>
            <xdr:cNvGraphicFramePr/>
          </xdr:nvGraphicFramePr>
          <xdr:xfrm>
            <a:off x="7620" y="488659"/>
            <a:ext cx="159910" cy="1410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aphicFrame>
          <xdr:nvGraphicFramePr>
            <xdr:cNvPr id="6" name="Chart 9"/>
            <xdr:cNvGraphicFramePr/>
          </xdr:nvGraphicFramePr>
          <xdr:xfrm>
            <a:off x="7620" y="480060"/>
            <a:ext cx="0" cy="25938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graphicFrame>
          <xdr:nvGraphicFramePr>
            <xdr:cNvPr id="7" name="Chart 10"/>
            <xdr:cNvGraphicFramePr/>
          </xdr:nvGraphicFramePr>
          <xdr:xfrm>
            <a:off x="7620" y="481470"/>
            <a:ext cx="1970" cy="27489"/>
          </xdr:xfrm>
          <a:graphic>
            <a:graphicData uri="http://schemas.openxmlformats.org/drawingml/2006/chart">
              <c:chart xmlns:c="http://schemas.openxmlformats.org/drawingml/2006/chart" r:id="rId4"/>
            </a:graphicData>
          </a:graphic>
        </xdr:graphicFrame>
        <xdr:graphicFrame>
          <xdr:nvGraphicFramePr>
            <xdr:cNvPr id="8" name="Chart 11"/>
            <xdr:cNvGraphicFramePr/>
          </xdr:nvGraphicFramePr>
          <xdr:xfrm>
            <a:off x="7620" y="480060"/>
            <a:ext cx="0" cy="2819"/>
          </xdr:xfrm>
          <a:graphic>
            <a:graphicData uri="http://schemas.openxmlformats.org/drawingml/2006/chart">
              <c:chart xmlns:c="http://schemas.openxmlformats.org/drawingml/2006/chart" r:id="rId5"/>
            </a:graphicData>
          </a:graphic>
        </xdr:graphicFrame>
        <xdr:grpSp>
          <xdr:nvGrpSpPr>
            <xdr:cNvPr id="9" name="Group 3"/>
            <xdr:cNvGrpSpPr>
              <a:grpSpLocks/>
            </xdr:cNvGrpSpPr>
          </xdr:nvGrpSpPr>
          <xdr:grpSpPr>
            <a:xfrm>
              <a:off x="7620" y="480060"/>
              <a:ext cx="1970" cy="27489"/>
              <a:chOff x="0" y="13982700"/>
              <a:chExt cx="6393180" cy="2476500"/>
            </a:xfrm>
            <a:solidFill>
              <a:srgbClr val="FFFFFF"/>
            </a:solidFill>
          </xdr:grpSpPr>
          <xdr:graphicFrame>
            <xdr:nvGraphicFramePr>
              <xdr:cNvPr id="10" name="Chart 8"/>
              <xdr:cNvGraphicFramePr/>
            </xdr:nvGraphicFramePr>
            <xdr:xfrm>
              <a:off x="0" y="13982700"/>
              <a:ext cx="6393180" cy="2476500"/>
            </xdr:xfrm>
            <a:graphic>
              <a:graphicData uri="http://schemas.openxmlformats.org/drawingml/2006/chart">
                <c:chart xmlns:c="http://schemas.openxmlformats.org/drawingml/2006/chart" r:id="rId6"/>
              </a:graphicData>
            </a:graphic>
          </xdr:graphicFrame>
          <xdr:sp>
            <xdr:nvSpPr>
              <xdr:cNvPr id="11" name="TextBox 1"/>
              <xdr:cNvSpPr txBox="1">
                <a:spLocks noChangeArrowheads="1"/>
              </xdr:cNvSpPr>
            </xdr:nvSpPr>
            <xdr:spPr>
              <a:xfrm>
                <a:off x="573788" y="14022324"/>
                <a:ext cx="350027" cy="27736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(a)</a:t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0"/>
  <sheetViews>
    <sheetView zoomScalePageLayoutView="0" workbookViewId="0" topLeftCell="A49">
      <selection activeCell="M11" sqref="M11"/>
    </sheetView>
  </sheetViews>
  <sheetFormatPr defaultColWidth="9.140625" defaultRowHeight="12.75"/>
  <cols>
    <col min="2" max="2" width="11.140625" style="0" customWidth="1"/>
    <col min="4" max="4" width="10.00390625" style="0" customWidth="1"/>
    <col min="5" max="5" width="9.421875" style="0" bestFit="1" customWidth="1"/>
  </cols>
  <sheetData>
    <row r="3" ht="18">
      <c r="A3" s="63" t="s">
        <v>31</v>
      </c>
    </row>
    <row r="4" ht="18">
      <c r="A4" s="49"/>
    </row>
    <row r="5" spans="1:7" ht="15">
      <c r="A5" s="50" t="s">
        <v>32</v>
      </c>
      <c r="B5" s="51"/>
      <c r="C5" s="51"/>
      <c r="D5" s="51"/>
      <c r="E5" s="51"/>
      <c r="F5" s="51"/>
      <c r="G5" s="51"/>
    </row>
    <row r="6" spans="1:8" ht="20.25">
      <c r="A6" s="52" t="s">
        <v>33</v>
      </c>
      <c r="B6" s="53">
        <f>(0.07/2)*LOG(60/30)</f>
        <v>0.010536049848239342</v>
      </c>
      <c r="F6" s="54"/>
      <c r="H6" s="54"/>
    </row>
    <row r="7" spans="1:2" ht="20.25">
      <c r="A7" s="52" t="s">
        <v>34</v>
      </c>
      <c r="B7" s="53">
        <f>(0.07/2)*LOG(60/30)+(0.8/2)*LOG(120/60)</f>
        <v>0.13094804811383182</v>
      </c>
    </row>
    <row r="8" spans="1:5" ht="20.25">
      <c r="A8" s="55" t="s">
        <v>35</v>
      </c>
      <c r="B8" s="56">
        <f>B7/(120-30)</f>
        <v>0.001454978312375909</v>
      </c>
      <c r="C8" s="54" t="s">
        <v>36</v>
      </c>
      <c r="D8" s="43">
        <f>B8*1000</f>
        <v>1.454978312375909</v>
      </c>
      <c r="E8" s="54" t="s">
        <v>37</v>
      </c>
    </row>
    <row r="9" spans="1:5" ht="15.75">
      <c r="A9" s="54" t="s">
        <v>38</v>
      </c>
      <c r="B9" s="43">
        <f>5*10^(-5)/9.81/B8</f>
        <v>0.0035030350046265555</v>
      </c>
      <c r="C9" s="54" t="s">
        <v>39</v>
      </c>
      <c r="D9" s="57">
        <f>B9*365</f>
        <v>1.2786077766886927</v>
      </c>
      <c r="E9" s="54" t="s">
        <v>40</v>
      </c>
    </row>
    <row r="10" spans="1:3" ht="15">
      <c r="A10" s="54" t="s">
        <v>41</v>
      </c>
      <c r="B10" s="57">
        <f>B7*4</f>
        <v>0.5237921924553273</v>
      </c>
      <c r="C10" s="54" t="s">
        <v>42</v>
      </c>
    </row>
    <row r="11" spans="1:3" ht="15">
      <c r="A11" s="54" t="s">
        <v>43</v>
      </c>
      <c r="B11" s="59">
        <f>1.5*4^2/D9</f>
        <v>18.77041610223474</v>
      </c>
      <c r="C11" s="54" t="s">
        <v>44</v>
      </c>
    </row>
    <row r="12" spans="1:3" ht="12">
      <c r="A12" s="54"/>
      <c r="B12" s="58"/>
      <c r="C12" s="54"/>
    </row>
    <row r="13" spans="1:6" ht="12">
      <c r="A13" s="54" t="s">
        <v>45</v>
      </c>
      <c r="B13" s="58">
        <v>5</v>
      </c>
      <c r="C13" s="54" t="s">
        <v>46</v>
      </c>
      <c r="E13">
        <v>50</v>
      </c>
      <c r="F13" s="54" t="s">
        <v>46</v>
      </c>
    </row>
    <row r="14" spans="1:5" ht="15">
      <c r="A14" s="54" t="s">
        <v>47</v>
      </c>
      <c r="B14" s="136">
        <f>$D$9*B13/4^2</f>
        <v>0.3995649302152165</v>
      </c>
      <c r="C14" s="136"/>
      <c r="D14" s="57"/>
      <c r="E14" s="136">
        <f>$D$9*E13/4^2</f>
        <v>3.995649302152165</v>
      </c>
    </row>
    <row r="15" spans="1:5" ht="15">
      <c r="A15" s="54" t="s">
        <v>48</v>
      </c>
      <c r="B15" s="136">
        <f>1-10^(-(B14+0.085)/0.933)</f>
        <v>0.6975609936368696</v>
      </c>
      <c r="C15" s="136"/>
      <c r="D15" s="57"/>
      <c r="E15" s="136">
        <f>1-10^(-(E14+0.085)/0.933)</f>
        <v>0.9999577025956614</v>
      </c>
    </row>
    <row r="16" spans="1:6" ht="15">
      <c r="A16" s="54" t="s">
        <v>49</v>
      </c>
      <c r="B16" s="136">
        <f>(0.018/2)*LOG(B13*365/1)*4</f>
        <v>0.11740546327652976</v>
      </c>
      <c r="C16" s="136" t="s">
        <v>50</v>
      </c>
      <c r="D16" s="57"/>
      <c r="E16" s="136">
        <f>(0.018/2)*LOG(E13*365/1)*4</f>
        <v>0.15340546327652976</v>
      </c>
      <c r="F16" t="s">
        <v>50</v>
      </c>
    </row>
    <row r="17" spans="1:6" ht="15">
      <c r="A17" s="54" t="s">
        <v>51</v>
      </c>
      <c r="B17" s="136">
        <v>0</v>
      </c>
      <c r="C17" s="137" t="s">
        <v>50</v>
      </c>
      <c r="D17" s="57"/>
      <c r="E17" s="53">
        <f>(0.018/2)*LOG(E13/$B$11)*4</f>
        <v>0.015317859750334926</v>
      </c>
      <c r="F17" t="s">
        <v>50</v>
      </c>
    </row>
    <row r="18" spans="1:6" ht="15">
      <c r="A18" s="54" t="s">
        <v>52</v>
      </c>
      <c r="B18" s="136">
        <f>B15*$B$10+0.8*B16</f>
        <v>0.4593013728495964</v>
      </c>
      <c r="C18" s="136" t="s">
        <v>50</v>
      </c>
      <c r="D18" s="57"/>
      <c r="E18" s="136">
        <f>E15*$B$10+0.8*E16+0.2*E17</f>
        <v>0.6495579799764645</v>
      </c>
      <c r="F18" t="s">
        <v>50</v>
      </c>
    </row>
    <row r="19" spans="1:6" ht="15">
      <c r="A19" s="54" t="s">
        <v>53</v>
      </c>
      <c r="B19" s="136">
        <f>B15*$B$10</f>
        <v>0.36537700222837255</v>
      </c>
      <c r="C19" s="136" t="s">
        <v>50</v>
      </c>
      <c r="D19" s="57"/>
      <c r="E19" s="136">
        <f>E15*$B$10+(0.018/2)*LOG(E13/$B$11)*4</f>
        <v>0.5390878971555085</v>
      </c>
      <c r="F19" t="s">
        <v>50</v>
      </c>
    </row>
    <row r="20" spans="1:5" ht="12">
      <c r="A20" s="54"/>
      <c r="B20" s="58"/>
      <c r="C20" s="54"/>
      <c r="E20" s="58"/>
    </row>
    <row r="21" spans="1:5" ht="12">
      <c r="A21" s="54"/>
      <c r="B21" s="58"/>
      <c r="C21" s="54"/>
      <c r="E21" s="58"/>
    </row>
    <row r="22" spans="1:5" ht="12">
      <c r="A22" s="54"/>
      <c r="B22" s="58"/>
      <c r="C22" s="54"/>
      <c r="E22" s="58"/>
    </row>
    <row r="23" spans="1:5" ht="12">
      <c r="A23" s="54"/>
      <c r="B23" s="58"/>
      <c r="C23" s="54"/>
      <c r="E23" s="58"/>
    </row>
    <row r="24" spans="1:7" ht="15">
      <c r="A24" s="50" t="s">
        <v>54</v>
      </c>
      <c r="B24" s="51"/>
      <c r="C24" s="51"/>
      <c r="D24" s="51"/>
      <c r="E24" s="51"/>
      <c r="F24" s="51"/>
      <c r="G24" s="51"/>
    </row>
    <row r="25" spans="1:6" ht="20.25">
      <c r="A25" s="52" t="s">
        <v>33</v>
      </c>
      <c r="B25" s="53">
        <f>(0.07/2)*LOG(60/30)</f>
        <v>0.010536049848239342</v>
      </c>
      <c r="F25" s="54"/>
    </row>
    <row r="26" spans="1:2" ht="20.25">
      <c r="A26" s="52" t="s">
        <v>34</v>
      </c>
      <c r="B26" s="53">
        <f>(0.07/2)*LOG(50/30)</f>
        <v>0.007764706236572475</v>
      </c>
    </row>
    <row r="27" spans="1:5" ht="20.25">
      <c r="A27" s="55" t="s">
        <v>35</v>
      </c>
      <c r="B27" s="56">
        <f>B26/(50-30)</f>
        <v>0.00038823531182862375</v>
      </c>
      <c r="C27" s="54" t="s">
        <v>36</v>
      </c>
      <c r="D27" s="43">
        <f>B27*1000</f>
        <v>0.38823531182862375</v>
      </c>
      <c r="E27" s="54" t="s">
        <v>37</v>
      </c>
    </row>
    <row r="28" spans="1:5" ht="15.75">
      <c r="A28" s="54" t="s">
        <v>38</v>
      </c>
      <c r="B28" s="43">
        <f>5*10^(-5)/9.81/B27</f>
        <v>0.013128223538499625</v>
      </c>
      <c r="C28" s="54" t="s">
        <v>39</v>
      </c>
      <c r="D28" s="57">
        <f>B28*365*24</f>
        <v>115.0032381972567</v>
      </c>
      <c r="E28" s="54" t="s">
        <v>40</v>
      </c>
    </row>
    <row r="29" spans="1:3" ht="15">
      <c r="A29" s="54" t="s">
        <v>41</v>
      </c>
      <c r="B29" s="57">
        <f>B26*4</f>
        <v>0.0310588249462899</v>
      </c>
      <c r="C29" s="54" t="s">
        <v>42</v>
      </c>
    </row>
    <row r="30" spans="1:3" ht="15">
      <c r="A30" s="54" t="s">
        <v>43</v>
      </c>
      <c r="B30" s="136">
        <f>1.5*4^2/D28</f>
        <v>0.20868977583774243</v>
      </c>
      <c r="C30" s="54" t="s">
        <v>44</v>
      </c>
    </row>
    <row r="31" spans="1:3" ht="12">
      <c r="A31" s="54"/>
      <c r="B31" s="136"/>
      <c r="C31" s="54"/>
    </row>
    <row r="32" spans="1:6" ht="12">
      <c r="A32" s="54" t="s">
        <v>45</v>
      </c>
      <c r="B32" s="138">
        <v>5</v>
      </c>
      <c r="C32" s="54" t="s">
        <v>46</v>
      </c>
      <c r="E32">
        <v>50</v>
      </c>
      <c r="F32" s="54" t="s">
        <v>46</v>
      </c>
    </row>
    <row r="33" spans="1:5" ht="15.75">
      <c r="A33" s="54" t="s">
        <v>47</v>
      </c>
      <c r="B33" s="136">
        <f>$D$28*B32/4^2</f>
        <v>35.93851193664272</v>
      </c>
      <c r="C33" s="136"/>
      <c r="D33" s="57"/>
      <c r="E33" s="136">
        <f>$D$28*E32/4^2</f>
        <v>359.3851193664272</v>
      </c>
    </row>
    <row r="34" spans="1:5" ht="15.75">
      <c r="A34" s="54" t="s">
        <v>48</v>
      </c>
      <c r="B34" s="136">
        <f>1-10^(-(B33+0.085)/0.933)</f>
        <v>1</v>
      </c>
      <c r="C34" s="54"/>
      <c r="E34" s="58">
        <f>1-10^(-(E33+0.085)/0.933)</f>
        <v>1</v>
      </c>
    </row>
    <row r="35" spans="1:5" ht="15.75">
      <c r="A35" s="54" t="s">
        <v>55</v>
      </c>
      <c r="B35" s="59">
        <f>(10^((B26-B25)*2/0.018))*(50/60)^(-0.8/0.018)-1</f>
        <v>1625.4451547253316</v>
      </c>
      <c r="C35" s="59" t="s">
        <v>56</v>
      </c>
      <c r="D35" s="59">
        <f>B35/365</f>
        <v>4.453274396507758</v>
      </c>
      <c r="E35" s="54" t="s">
        <v>46</v>
      </c>
    </row>
    <row r="36" spans="1:5" ht="15.75">
      <c r="A36" s="54" t="s">
        <v>49</v>
      </c>
      <c r="B36" s="53">
        <f>(0.018/2)*LOG((B32+$D$35)*365/(1+$D$35*365))*4</f>
        <v>0.011758885401132813</v>
      </c>
      <c r="C36" s="53" t="s">
        <v>50</v>
      </c>
      <c r="D36" s="81"/>
      <c r="E36" s="53">
        <f>(0.018/2)*LOG((E32+$D$35)*365/(1+$D$35*365))*4</f>
        <v>0.039134787889827535</v>
      </c>
    </row>
    <row r="37" spans="1:5" ht="15.75">
      <c r="A37" s="54" t="s">
        <v>51</v>
      </c>
      <c r="B37" s="53">
        <f>(0.018/2)*LOG((B32+$D$35)/($B$30+$D$35))*4</f>
        <v>0.011052479972579677</v>
      </c>
      <c r="C37" s="53"/>
      <c r="D37" s="81"/>
      <c r="E37" s="53">
        <f>(0.018/2)*LOG((E32+$D$35)/($B$30+$D$35))*4</f>
        <v>0.0384283824612744</v>
      </c>
    </row>
    <row r="38" spans="1:5" ht="15">
      <c r="A38" s="54" t="s">
        <v>52</v>
      </c>
      <c r="B38" s="53">
        <f>B34*$B$29+0.8*B36+0.2*B37</f>
        <v>0.042676429261712084</v>
      </c>
      <c r="C38" s="53" t="s">
        <v>50</v>
      </c>
      <c r="D38" s="81"/>
      <c r="E38" s="53">
        <f>E34*$B$29+0.8*E36+0.2*E37</f>
        <v>0.07005233175040682</v>
      </c>
    </row>
    <row r="39" spans="1:6" ht="15">
      <c r="A39" s="54" t="s">
        <v>53</v>
      </c>
      <c r="B39" s="141">
        <f>B34*$B$29+(0.018/2)*LOG(B32/$B$30)*4</f>
        <v>0.08071970289011107</v>
      </c>
      <c r="C39" s="142" t="s">
        <v>50</v>
      </c>
      <c r="D39" s="142" t="s">
        <v>90</v>
      </c>
      <c r="E39" s="141">
        <f>E34*$B$29+(0.018/2)*LOG(E32/$B$30)*4</f>
        <v>0.11671970289011108</v>
      </c>
      <c r="F39" s="139" t="s">
        <v>90</v>
      </c>
    </row>
    <row r="40" spans="1:5" ht="15">
      <c r="A40" s="4" t="s">
        <v>91</v>
      </c>
      <c r="B40" s="58"/>
      <c r="C40" s="54"/>
      <c r="E40" s="58"/>
    </row>
    <row r="41" spans="1:5" ht="15">
      <c r="A41" s="4" t="s">
        <v>92</v>
      </c>
      <c r="B41" s="58"/>
      <c r="C41" s="54"/>
      <c r="E41" s="58"/>
    </row>
    <row r="42" spans="1:5" ht="12">
      <c r="A42" s="54"/>
      <c r="B42" s="58"/>
      <c r="C42" s="54"/>
      <c r="E42" s="58"/>
    </row>
    <row r="43" spans="1:5" ht="12">
      <c r="A43" s="140"/>
      <c r="B43" s="58"/>
      <c r="C43" s="54"/>
      <c r="E43" s="58"/>
    </row>
    <row r="44" spans="1:5" ht="12">
      <c r="A44" s="140"/>
      <c r="B44" s="58"/>
      <c r="C44" s="54"/>
      <c r="E44" s="58"/>
    </row>
    <row r="49" ht="12">
      <c r="A49" s="54"/>
    </row>
    <row r="50" ht="12">
      <c r="B50" s="61"/>
    </row>
    <row r="51" ht="12">
      <c r="B51" s="61"/>
    </row>
    <row r="52" spans="2:3" ht="12">
      <c r="B52" s="61"/>
      <c r="C52" s="54"/>
    </row>
    <row r="53" ht="12">
      <c r="B53" s="61"/>
    </row>
    <row r="54" ht="12">
      <c r="B54" s="61"/>
    </row>
    <row r="55" spans="1:2" ht="12">
      <c r="A55" s="54"/>
      <c r="B55" s="61"/>
    </row>
    <row r="56" ht="12">
      <c r="B56" s="61"/>
    </row>
    <row r="57" spans="2:3" ht="12">
      <c r="B57" s="61"/>
      <c r="C57" s="54"/>
    </row>
    <row r="58" ht="12">
      <c r="B58" s="61"/>
    </row>
    <row r="59" ht="12">
      <c r="B59" s="61"/>
    </row>
    <row r="60" spans="1:2" ht="12">
      <c r="A60" s="54"/>
      <c r="B60" s="61"/>
    </row>
    <row r="61" ht="12">
      <c r="B61" s="61"/>
    </row>
    <row r="62" spans="2:3" ht="12">
      <c r="B62" s="61"/>
      <c r="C62" s="54"/>
    </row>
    <row r="63" spans="1:3" ht="12">
      <c r="A63" s="54"/>
      <c r="B63" s="53"/>
      <c r="C63" s="54"/>
    </row>
    <row r="64" ht="12">
      <c r="B64" s="62"/>
    </row>
    <row r="65" ht="12">
      <c r="B65" s="62"/>
    </row>
    <row r="66" spans="1:2" ht="18">
      <c r="A66" s="49"/>
      <c r="B66" s="62"/>
    </row>
    <row r="70" ht="12">
      <c r="A70" s="54"/>
    </row>
  </sheetData>
  <sheetProtection/>
  <printOptions/>
  <pageMargins left="0.7" right="0.7" top="0.75" bottom="0.75" header="0.3" footer="0.3"/>
  <pageSetup orientation="portrait" paperSize="9" r:id="rId3"/>
  <legacyDrawing r:id="rId2"/>
  <oleObjects>
    <oleObject progId="" shapeId="83134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BY365"/>
  <sheetViews>
    <sheetView tabSelected="1" zoomScalePageLayoutView="0" workbookViewId="0" topLeftCell="A43">
      <selection activeCell="M58" sqref="M58"/>
    </sheetView>
  </sheetViews>
  <sheetFormatPr defaultColWidth="9.140625" defaultRowHeight="12.75"/>
  <cols>
    <col min="1" max="1" width="9.8515625" style="0" customWidth="1"/>
    <col min="2" max="2" width="10.421875" style="0" customWidth="1"/>
    <col min="4" max="4" width="9.8515625" style="0" bestFit="1" customWidth="1"/>
    <col min="5" max="5" width="10.00390625" style="0" customWidth="1"/>
    <col min="6" max="6" width="9.421875" style="0" customWidth="1"/>
    <col min="9" max="9" width="11.8515625" style="0" customWidth="1"/>
    <col min="12" max="12" width="10.57421875" style="0" bestFit="1" customWidth="1"/>
    <col min="23" max="23" width="9.8515625" style="0" customWidth="1"/>
    <col min="24" max="24" width="10.421875" style="0" customWidth="1"/>
    <col min="25" max="25" width="10.28125" style="0" customWidth="1"/>
    <col min="26" max="26" width="10.8515625" style="0" customWidth="1"/>
    <col min="27" max="27" width="11.00390625" style="0" customWidth="1"/>
    <col min="31" max="31" width="9.140625" style="0" hidden="1" customWidth="1"/>
    <col min="34" max="34" width="10.421875" style="0" bestFit="1" customWidth="1"/>
    <col min="35" max="35" width="8.8515625" style="0" bestFit="1" customWidth="1"/>
    <col min="36" max="36" width="9.421875" style="0" bestFit="1" customWidth="1"/>
    <col min="37" max="37" width="8.8515625" style="0" bestFit="1" customWidth="1"/>
    <col min="39" max="39" width="10.421875" style="0" bestFit="1" customWidth="1"/>
    <col min="40" max="40" width="8.8515625" style="0" bestFit="1" customWidth="1"/>
    <col min="42" max="42" width="10.421875" style="0" bestFit="1" customWidth="1"/>
    <col min="43" max="43" width="8.8515625" style="0" bestFit="1" customWidth="1"/>
    <col min="45" max="45" width="10.421875" style="0" bestFit="1" customWidth="1"/>
    <col min="46" max="46" width="8.8515625" style="0" bestFit="1" customWidth="1"/>
    <col min="48" max="48" width="10.421875" style="0" bestFit="1" customWidth="1"/>
    <col min="49" max="49" width="8.8515625" style="0" bestFit="1" customWidth="1"/>
    <col min="51" max="51" width="10.421875" style="0" bestFit="1" customWidth="1"/>
    <col min="52" max="52" width="8.8515625" style="0" bestFit="1" customWidth="1"/>
    <col min="54" max="54" width="10.421875" style="0" bestFit="1" customWidth="1"/>
    <col min="55" max="55" width="8.8515625" style="0" bestFit="1" customWidth="1"/>
  </cols>
  <sheetData>
    <row r="2" ht="18">
      <c r="A2" s="63" t="s">
        <v>57</v>
      </c>
    </row>
    <row r="4" ht="12.75">
      <c r="P4" s="135" t="s">
        <v>23</v>
      </c>
    </row>
    <row r="5" spans="1:34" ht="12.75">
      <c r="A5" s="64" t="s">
        <v>58</v>
      </c>
      <c r="W5" s="40" t="s">
        <v>30</v>
      </c>
      <c r="X5">
        <v>0</v>
      </c>
      <c r="Y5">
        <v>0.3</v>
      </c>
      <c r="Z5">
        <v>1</v>
      </c>
      <c r="AH5" s="100" t="s">
        <v>81</v>
      </c>
    </row>
    <row r="6" spans="1:77" ht="45" customHeight="1">
      <c r="A6" s="101" t="s">
        <v>1</v>
      </c>
      <c r="B6" s="101" t="s">
        <v>0</v>
      </c>
      <c r="C6" s="101" t="s">
        <v>2</v>
      </c>
      <c r="D6" s="101" t="s">
        <v>60</v>
      </c>
      <c r="E6" s="101" t="s">
        <v>59</v>
      </c>
      <c r="F6" s="101" t="s">
        <v>85</v>
      </c>
      <c r="G6" s="101" t="s">
        <v>86</v>
      </c>
      <c r="H6" s="26" t="s">
        <v>6</v>
      </c>
      <c r="I6" s="65"/>
      <c r="J6" s="8"/>
      <c r="K6" s="8"/>
      <c r="L6" s="8"/>
      <c r="M6" s="8"/>
      <c r="N6" s="8"/>
      <c r="P6" s="26" t="s">
        <v>70</v>
      </c>
      <c r="Q6" s="26" t="s">
        <v>71</v>
      </c>
      <c r="R6" s="26" t="s">
        <v>72</v>
      </c>
      <c r="S6" s="26" t="s">
        <v>73</v>
      </c>
      <c r="T6" s="26" t="s">
        <v>74</v>
      </c>
      <c r="U6" s="26" t="s">
        <v>75</v>
      </c>
      <c r="V6" s="20" t="s">
        <v>29</v>
      </c>
      <c r="W6" s="11" t="s">
        <v>78</v>
      </c>
      <c r="X6" s="11" t="s">
        <v>87</v>
      </c>
      <c r="Y6" s="11" t="s">
        <v>88</v>
      </c>
      <c r="Z6" s="11" t="s">
        <v>89</v>
      </c>
      <c r="AA6" s="97"/>
      <c r="AB6" s="19"/>
      <c r="AC6" s="19"/>
      <c r="AD6" s="19"/>
      <c r="AH6" s="100" t="s">
        <v>82</v>
      </c>
      <c r="AI6" s="100" t="s">
        <v>80</v>
      </c>
      <c r="AJ6" s="4"/>
      <c r="AK6" s="4"/>
      <c r="AL6" s="4"/>
      <c r="AM6" s="100" t="s">
        <v>83</v>
      </c>
      <c r="AN6" s="100" t="s">
        <v>80</v>
      </c>
      <c r="AS6" s="3" t="s">
        <v>9</v>
      </c>
      <c r="AY6" s="3" t="s">
        <v>10</v>
      </c>
      <c r="BF6" s="100" t="s">
        <v>83</v>
      </c>
      <c r="BI6" s="100" t="s">
        <v>79</v>
      </c>
      <c r="BK6">
        <v>2</v>
      </c>
      <c r="BP6">
        <v>4</v>
      </c>
      <c r="BV6" s="100" t="s">
        <v>84</v>
      </c>
      <c r="BX6" s="3"/>
      <c r="BY6" s="100" t="s">
        <v>79</v>
      </c>
    </row>
    <row r="7" spans="1:77" ht="12">
      <c r="A7" s="101">
        <v>0.01086</v>
      </c>
      <c r="B7" s="101">
        <v>0.174</v>
      </c>
      <c r="C7" s="101">
        <f>0.0076</f>
        <v>0.0076</v>
      </c>
      <c r="D7" s="101">
        <v>1</v>
      </c>
      <c r="E7" s="102">
        <f>2.2*10^(-9)*(24*60*60)</f>
        <v>0.00019008000000000002</v>
      </c>
      <c r="F7" s="101">
        <v>2.65</v>
      </c>
      <c r="G7" s="101">
        <f>F7+1</f>
        <v>3.65</v>
      </c>
      <c r="H7" s="132">
        <f>15</f>
        <v>15</v>
      </c>
      <c r="I7" s="65"/>
      <c r="J7" s="8"/>
      <c r="K7" s="8"/>
      <c r="L7" s="8"/>
      <c r="M7" s="8"/>
      <c r="N7" s="8"/>
      <c r="Q7" s="30">
        <v>1</v>
      </c>
      <c r="R7" s="46">
        <f>$I$38*Q7/4^2</f>
        <v>0.00010523698776595977</v>
      </c>
      <c r="S7" s="46">
        <f>(4*R7/3.1416)^0.5</f>
        <v>0.011575473254335136</v>
      </c>
      <c r="T7" s="46">
        <f>S7*$G$48</f>
        <v>0.010656332611250572</v>
      </c>
      <c r="U7" s="46">
        <v>0</v>
      </c>
      <c r="V7" s="46">
        <v>0</v>
      </c>
      <c r="W7" s="46">
        <f>T7+V7</f>
        <v>0.010656332611250572</v>
      </c>
      <c r="X7" s="46">
        <f>T7+(0.8*U7+0.2*V7)</f>
        <v>0.010656332611250572</v>
      </c>
      <c r="Y7" s="46">
        <f aca="true" t="shared" si="0" ref="Y7:Z9">$T7+(0.8*$S7^Y$5*$U7+(1-0.8*$S7^Y$5)*$V7)</f>
        <v>0.010656332611250572</v>
      </c>
      <c r="Z7" s="46">
        <f t="shared" si="0"/>
        <v>0.010656332611250572</v>
      </c>
      <c r="AA7" s="46"/>
      <c r="AB7" s="8"/>
      <c r="AC7" s="33"/>
      <c r="AD7" s="22"/>
      <c r="AF7" s="8"/>
      <c r="AG7" s="8"/>
      <c r="AH7" s="98">
        <v>0.1</v>
      </c>
      <c r="AI7" s="98">
        <v>0</v>
      </c>
      <c r="AJ7" s="98">
        <v>0.1</v>
      </c>
      <c r="AK7" s="98">
        <v>0</v>
      </c>
      <c r="AL7" s="9"/>
      <c r="AM7" s="98">
        <v>0.1</v>
      </c>
      <c r="AN7" s="98">
        <v>0</v>
      </c>
      <c r="AO7" s="81"/>
      <c r="AP7" s="98">
        <v>0.1</v>
      </c>
      <c r="AQ7" s="98">
        <v>0</v>
      </c>
      <c r="AR7" s="81"/>
      <c r="AS7" s="98">
        <v>0.1</v>
      </c>
      <c r="AT7" s="98">
        <v>0</v>
      </c>
      <c r="AU7" s="81"/>
      <c r="AV7" s="98">
        <v>0.1</v>
      </c>
      <c r="AW7" s="98">
        <v>0</v>
      </c>
      <c r="AX7" s="81"/>
      <c r="AY7" s="98">
        <v>0.1</v>
      </c>
      <c r="AZ7" s="98">
        <v>0</v>
      </c>
      <c r="BA7" s="81"/>
      <c r="BB7" s="98">
        <v>0.1</v>
      </c>
      <c r="BC7" s="98">
        <v>0</v>
      </c>
      <c r="BF7" t="s">
        <v>7</v>
      </c>
      <c r="BG7" t="s">
        <v>8</v>
      </c>
      <c r="BH7" t="s">
        <v>11</v>
      </c>
      <c r="BI7" t="s">
        <v>12</v>
      </c>
      <c r="BK7" t="s">
        <v>7</v>
      </c>
      <c r="BL7" t="s">
        <v>8</v>
      </c>
      <c r="BM7" t="s">
        <v>11</v>
      </c>
      <c r="BN7" t="s">
        <v>12</v>
      </c>
      <c r="BP7" t="s">
        <v>7</v>
      </c>
      <c r="BQ7" t="s">
        <v>8</v>
      </c>
      <c r="BR7" t="s">
        <v>11</v>
      </c>
      <c r="BS7" t="s">
        <v>12</v>
      </c>
      <c r="BV7" t="s">
        <v>7</v>
      </c>
      <c r="BW7" t="s">
        <v>8</v>
      </c>
      <c r="BX7" t="s">
        <v>11</v>
      </c>
      <c r="BY7" t="s">
        <v>12</v>
      </c>
    </row>
    <row r="8" spans="1:77" ht="15">
      <c r="A8" s="101" t="s">
        <v>3</v>
      </c>
      <c r="B8" s="101" t="s">
        <v>4</v>
      </c>
      <c r="C8" s="101" t="s">
        <v>5</v>
      </c>
      <c r="D8" s="133"/>
      <c r="E8" s="103"/>
      <c r="F8" s="103"/>
      <c r="G8" s="103"/>
      <c r="Q8" s="30">
        <v>2</v>
      </c>
      <c r="R8" s="46">
        <f aca="true" t="shared" si="1" ref="R8:R27">$I$38*Q8/4^2</f>
        <v>0.00021047397553191954</v>
      </c>
      <c r="S8" s="46">
        <f aca="true" t="shared" si="2" ref="S8:S20">(4*R8/3.1416)^0.5</f>
        <v>0.016370191267167777</v>
      </c>
      <c r="T8" s="46">
        <f aca="true" t="shared" si="3" ref="T8:T28">S8*$G$48</f>
        <v>0.01507033010398926</v>
      </c>
      <c r="U8" s="46">
        <v>0</v>
      </c>
      <c r="V8" s="46">
        <v>0</v>
      </c>
      <c r="W8" s="46">
        <f aca="true" t="shared" si="4" ref="W8:W28">T8+V8</f>
        <v>0.01507033010398926</v>
      </c>
      <c r="X8" s="46">
        <f aca="true" t="shared" si="5" ref="X8:X28">T8+(0.8*U8+0.2*V8)</f>
        <v>0.01507033010398926</v>
      </c>
      <c r="Y8" s="46">
        <f t="shared" si="0"/>
        <v>0.01507033010398926</v>
      </c>
      <c r="Z8" s="46">
        <f t="shared" si="0"/>
        <v>0.01507033010398926</v>
      </c>
      <c r="AA8" s="46"/>
      <c r="AB8" s="8"/>
      <c r="AC8" s="33"/>
      <c r="AD8" s="22"/>
      <c r="AF8" s="8"/>
      <c r="AG8" s="8"/>
      <c r="AH8" s="98">
        <v>0.10402622941919137</v>
      </c>
      <c r="AI8" s="98">
        <v>0</v>
      </c>
      <c r="AJ8" s="98">
        <v>0.1033441063880556</v>
      </c>
      <c r="AK8" s="98">
        <v>0</v>
      </c>
      <c r="AL8" s="9"/>
      <c r="AM8" s="98">
        <v>0.10402622941919137</v>
      </c>
      <c r="AN8" s="98">
        <v>0</v>
      </c>
      <c r="AO8" s="81"/>
      <c r="AP8" s="98">
        <v>0.10402622941919137</v>
      </c>
      <c r="AQ8" s="98">
        <v>0.003646723646723647</v>
      </c>
      <c r="AR8" s="81"/>
      <c r="AS8" s="98">
        <v>0.10402622941919137</v>
      </c>
      <c r="AT8" s="98">
        <v>0</v>
      </c>
      <c r="AU8" s="81"/>
      <c r="AV8" s="98">
        <v>0.10402622941919137</v>
      </c>
      <c r="AW8" s="98">
        <v>0</v>
      </c>
      <c r="AX8" s="81"/>
      <c r="AY8" s="98">
        <v>0.10402622941919137</v>
      </c>
      <c r="AZ8" s="98">
        <v>0</v>
      </c>
      <c r="BA8" s="81"/>
      <c r="BB8" s="98">
        <v>0.10402622941919137</v>
      </c>
      <c r="BC8" s="98">
        <v>0</v>
      </c>
      <c r="BF8">
        <v>0</v>
      </c>
      <c r="BG8">
        <v>0</v>
      </c>
      <c r="BH8" s="2">
        <v>0</v>
      </c>
      <c r="BI8" t="s">
        <v>13</v>
      </c>
      <c r="BK8">
        <v>0</v>
      </c>
      <c r="BL8">
        <v>0</v>
      </c>
      <c r="BM8" s="2">
        <v>0</v>
      </c>
      <c r="BN8" t="s">
        <v>13</v>
      </c>
      <c r="BP8">
        <v>0</v>
      </c>
      <c r="BQ8">
        <v>0</v>
      </c>
      <c r="BR8" s="2">
        <v>0</v>
      </c>
      <c r="BS8" t="s">
        <v>13</v>
      </c>
      <c r="BV8">
        <v>0</v>
      </c>
      <c r="BW8">
        <v>0</v>
      </c>
      <c r="BX8" s="2">
        <v>0</v>
      </c>
      <c r="BY8" t="s">
        <v>13</v>
      </c>
    </row>
    <row r="9" spans="1:77" ht="12">
      <c r="A9" s="104">
        <f>A7*G7*LN(10)</f>
        <v>0.09127217050119099</v>
      </c>
      <c r="B9" s="104">
        <f>B7*G7*LN(10)</f>
        <v>1.4623717925605182</v>
      </c>
      <c r="C9" s="104">
        <f>C7*G7*LN(10)</f>
        <v>0.06387371047965483</v>
      </c>
      <c r="D9" s="134"/>
      <c r="E9" s="103"/>
      <c r="F9" s="103"/>
      <c r="G9" s="103"/>
      <c r="Q9" s="30">
        <v>3</v>
      </c>
      <c r="R9" s="46">
        <f t="shared" si="1"/>
        <v>0.0003157109632978793</v>
      </c>
      <c r="S9" s="46">
        <f t="shared" si="2"/>
        <v>0.020049307798163114</v>
      </c>
      <c r="T9" s="46">
        <f t="shared" si="3"/>
        <v>0.01845730950503912</v>
      </c>
      <c r="U9" s="46">
        <f aca="true" t="shared" si="6" ref="U9:U28">$C$9/$G$7*LOG((Q9)/($D$7))*4</f>
        <v>0.03339781357551054</v>
      </c>
      <c r="V9" s="46">
        <v>0</v>
      </c>
      <c r="W9" s="46">
        <f t="shared" si="4"/>
        <v>0.01845730950503912</v>
      </c>
      <c r="X9" s="46">
        <f t="shared" si="5"/>
        <v>0.04517556036544755</v>
      </c>
      <c r="Y9" s="46">
        <f t="shared" si="0"/>
        <v>0.026726020980618808</v>
      </c>
      <c r="Z9" s="46">
        <f t="shared" si="0"/>
        <v>0.018992991940367986</v>
      </c>
      <c r="AA9" s="46"/>
      <c r="AB9" s="8"/>
      <c r="AC9" s="33"/>
      <c r="AD9" s="22"/>
      <c r="AF9" s="8"/>
      <c r="AG9" s="8"/>
      <c r="AH9" s="98">
        <v>0.10821456407174236</v>
      </c>
      <c r="AI9" s="98">
        <v>0</v>
      </c>
      <c r="AJ9" s="98">
        <v>0.10680004325145755</v>
      </c>
      <c r="AK9" s="98">
        <v>0</v>
      </c>
      <c r="AL9" s="9"/>
      <c r="AM9" s="98">
        <v>0.10821456407174236</v>
      </c>
      <c r="AN9" s="98">
        <v>0</v>
      </c>
      <c r="AO9" s="81"/>
      <c r="AP9" s="98">
        <v>0.10821456407174236</v>
      </c>
      <c r="AQ9" s="98">
        <v>0.003646723646723647</v>
      </c>
      <c r="AR9" s="81"/>
      <c r="AS9" s="98">
        <v>0.10821456407174236</v>
      </c>
      <c r="AT9" s="98">
        <v>0</v>
      </c>
      <c r="AU9" s="81"/>
      <c r="AV9" s="98">
        <v>0.10821456407174236</v>
      </c>
      <c r="AW9" s="98">
        <v>0</v>
      </c>
      <c r="AX9" s="81"/>
      <c r="AY9" s="98">
        <v>0.10821456407174236</v>
      </c>
      <c r="AZ9" s="98">
        <v>0</v>
      </c>
      <c r="BA9" s="81"/>
      <c r="BB9" s="98">
        <v>0.10821456407174236</v>
      </c>
      <c r="BC9" s="98">
        <v>0</v>
      </c>
      <c r="BF9">
        <v>1</v>
      </c>
      <c r="BG9">
        <v>1</v>
      </c>
      <c r="BH9" s="2">
        <v>0</v>
      </c>
      <c r="BI9" s="2">
        <v>0</v>
      </c>
      <c r="BK9">
        <v>1</v>
      </c>
      <c r="BL9">
        <v>1</v>
      </c>
      <c r="BM9" s="2">
        <v>0</v>
      </c>
      <c r="BN9" s="2">
        <v>0</v>
      </c>
      <c r="BP9">
        <v>1</v>
      </c>
      <c r="BQ9">
        <v>1</v>
      </c>
      <c r="BR9" s="2">
        <v>0</v>
      </c>
      <c r="BS9" s="2">
        <v>0</v>
      </c>
      <c r="BV9">
        <v>1</v>
      </c>
      <c r="BW9">
        <v>1</v>
      </c>
      <c r="BX9" s="2">
        <v>0</v>
      </c>
      <c r="BY9" s="2">
        <v>0</v>
      </c>
    </row>
    <row r="10" spans="1:77" ht="12">
      <c r="A10" s="103"/>
      <c r="B10" s="103"/>
      <c r="C10" s="103"/>
      <c r="D10" s="103"/>
      <c r="E10" s="103"/>
      <c r="F10" s="103"/>
      <c r="G10" s="103"/>
      <c r="Q10" s="30">
        <v>4</v>
      </c>
      <c r="R10" s="46">
        <f t="shared" si="1"/>
        <v>0.0004209479510638391</v>
      </c>
      <c r="S10" s="46">
        <f t="shared" si="2"/>
        <v>0.02315094650867027</v>
      </c>
      <c r="T10" s="46">
        <f t="shared" si="3"/>
        <v>0.021312665222501144</v>
      </c>
      <c r="U10" s="46">
        <f t="shared" si="6"/>
        <v>0.04214334857804468</v>
      </c>
      <c r="V10" s="46">
        <v>0</v>
      </c>
      <c r="W10" s="46">
        <f t="shared" si="4"/>
        <v>0.021312665222501144</v>
      </c>
      <c r="X10" s="46">
        <f t="shared" si="5"/>
        <v>0.05502734408493689</v>
      </c>
      <c r="Y10" s="46">
        <f aca="true" t="shared" si="7" ref="Y10:Z28">$T10+(0.8*$S10^Y$5*$U10+(1-0.8*$S10^Y$5)*$V10)</f>
        <v>0.032206722460818654</v>
      </c>
      <c r="Z10" s="46">
        <f t="shared" si="7"/>
        <v>0.02209319194940239</v>
      </c>
      <c r="AA10" s="46"/>
      <c r="AB10" s="8"/>
      <c r="AC10" s="33"/>
      <c r="AD10" s="22"/>
      <c r="AF10" s="8"/>
      <c r="AG10" s="8"/>
      <c r="AH10" s="98">
        <v>0.11257153068624855</v>
      </c>
      <c r="AI10" s="98">
        <v>0</v>
      </c>
      <c r="AJ10" s="98">
        <v>0.11037155032027568</v>
      </c>
      <c r="AK10" s="98">
        <v>0</v>
      </c>
      <c r="AL10" s="9"/>
      <c r="AM10" s="98">
        <v>0.11257153068624855</v>
      </c>
      <c r="AN10" s="98">
        <v>0</v>
      </c>
      <c r="AO10" s="81"/>
      <c r="AP10" s="98">
        <v>0.11257153068624855</v>
      </c>
      <c r="AQ10" s="98">
        <v>0.003646723646723647</v>
      </c>
      <c r="AR10" s="81"/>
      <c r="AS10" s="98">
        <v>0.11257153068624855</v>
      </c>
      <c r="AT10" s="98">
        <v>0</v>
      </c>
      <c r="AU10" s="81"/>
      <c r="AV10" s="98">
        <v>0.11257153068624855</v>
      </c>
      <c r="AW10" s="98">
        <v>0</v>
      </c>
      <c r="AX10" s="81"/>
      <c r="AY10" s="98">
        <v>0.11257153068624855</v>
      </c>
      <c r="AZ10" s="98">
        <v>0</v>
      </c>
      <c r="BA10" s="81"/>
      <c r="BB10" s="98">
        <v>0.11257153068624855</v>
      </c>
      <c r="BC10" s="98">
        <v>0</v>
      </c>
      <c r="BF10">
        <v>2</v>
      </c>
      <c r="BG10">
        <v>1</v>
      </c>
      <c r="BH10" s="2">
        <v>0.025</v>
      </c>
      <c r="BI10" s="2">
        <v>0.000589351788302264</v>
      </c>
      <c r="BK10">
        <v>2</v>
      </c>
      <c r="BL10">
        <v>1</v>
      </c>
      <c r="BM10" s="2">
        <v>0.025</v>
      </c>
      <c r="BN10" s="2">
        <v>0.000543439218624838</v>
      </c>
      <c r="BP10">
        <v>2</v>
      </c>
      <c r="BQ10">
        <v>1</v>
      </c>
      <c r="BR10" s="2">
        <v>0.025</v>
      </c>
      <c r="BS10" s="2">
        <v>0.00041840641714202</v>
      </c>
      <c r="BV10">
        <v>2</v>
      </c>
      <c r="BW10">
        <v>1</v>
      </c>
      <c r="BX10" s="2">
        <v>0.025</v>
      </c>
      <c r="BY10" s="2">
        <v>0.000654534952751696</v>
      </c>
    </row>
    <row r="11" spans="1:77" ht="12.75">
      <c r="A11" s="105" t="s">
        <v>20</v>
      </c>
      <c r="B11" s="106"/>
      <c r="C11" s="106"/>
      <c r="D11" s="106"/>
      <c r="E11" s="107"/>
      <c r="F11" s="108"/>
      <c r="G11" s="109"/>
      <c r="H11" s="16"/>
      <c r="I11" s="16"/>
      <c r="Q11" s="30">
        <f aca="true" t="shared" si="8" ref="Q11:Q18">Q10*2</f>
        <v>8</v>
      </c>
      <c r="R11" s="46">
        <f t="shared" si="1"/>
        <v>0.0008418959021276782</v>
      </c>
      <c r="S11" s="46">
        <f t="shared" si="2"/>
        <v>0.03274038253433555</v>
      </c>
      <c r="T11" s="46">
        <f t="shared" si="3"/>
        <v>0.03014066020797852</v>
      </c>
      <c r="U11" s="46">
        <f t="shared" si="6"/>
        <v>0.06321502286706701</v>
      </c>
      <c r="V11" s="46">
        <v>0</v>
      </c>
      <c r="W11" s="46">
        <f t="shared" si="4"/>
        <v>0.03014066020797852</v>
      </c>
      <c r="X11" s="46">
        <f t="shared" si="5"/>
        <v>0.08071267850163213</v>
      </c>
      <c r="Y11" s="46">
        <f t="shared" si="7"/>
        <v>0.048272230215873776</v>
      </c>
      <c r="Z11" s="46">
        <f t="shared" si="7"/>
        <v>0.031796407432446154</v>
      </c>
      <c r="AA11" s="46"/>
      <c r="AB11" s="8"/>
      <c r="AC11" s="33"/>
      <c r="AD11" s="22"/>
      <c r="AF11" s="8"/>
      <c r="AG11" s="8"/>
      <c r="AH11" s="98">
        <v>0.11710391877237232</v>
      </c>
      <c r="AI11" s="98">
        <v>0</v>
      </c>
      <c r="AJ11" s="98">
        <v>0.11406249238513202</v>
      </c>
      <c r="AK11" s="98">
        <v>0</v>
      </c>
      <c r="AL11" s="9"/>
      <c r="AM11" s="98">
        <v>0.11710391877237232</v>
      </c>
      <c r="AN11" s="98">
        <v>0</v>
      </c>
      <c r="AO11" s="81"/>
      <c r="AP11" s="98">
        <v>0.11710391877237232</v>
      </c>
      <c r="AQ11" s="98">
        <v>0.003646723646723647</v>
      </c>
      <c r="AR11" s="81"/>
      <c r="AS11" s="98">
        <v>0.11710391877237232</v>
      </c>
      <c r="AT11" s="98">
        <v>0</v>
      </c>
      <c r="AU11" s="81"/>
      <c r="AV11" s="98">
        <v>0.11710391877237232</v>
      </c>
      <c r="AW11" s="98">
        <v>0</v>
      </c>
      <c r="AX11" s="81"/>
      <c r="AY11" s="98">
        <v>0.11710391877237232</v>
      </c>
      <c r="AZ11" s="98">
        <v>0</v>
      </c>
      <c r="BA11" s="81"/>
      <c r="BB11" s="98">
        <v>0.11710391877237232</v>
      </c>
      <c r="BC11" s="98">
        <v>0</v>
      </c>
      <c r="BF11">
        <v>3</v>
      </c>
      <c r="BG11">
        <v>2</v>
      </c>
      <c r="BH11" s="2">
        <v>0.075</v>
      </c>
      <c r="BI11" s="2">
        <v>0.00148339633793828</v>
      </c>
      <c r="BK11">
        <v>3</v>
      </c>
      <c r="BL11">
        <v>2</v>
      </c>
      <c r="BM11" s="2">
        <v>0.075</v>
      </c>
      <c r="BN11" s="2">
        <v>0.00137384368507746</v>
      </c>
      <c r="BP11">
        <v>3</v>
      </c>
      <c r="BQ11">
        <v>2</v>
      </c>
      <c r="BR11" s="2">
        <v>0.075</v>
      </c>
      <c r="BS11" s="2">
        <v>0.00107179512074114</v>
      </c>
      <c r="BV11">
        <v>3</v>
      </c>
      <c r="BW11">
        <v>2</v>
      </c>
      <c r="BX11" s="2">
        <v>0.075</v>
      </c>
      <c r="BY11" s="2">
        <v>0.00164985818577682</v>
      </c>
    </row>
    <row r="12" spans="1:77" ht="30" customHeight="1">
      <c r="A12" s="101"/>
      <c r="B12" s="110" t="s">
        <v>14</v>
      </c>
      <c r="C12" s="111" t="s">
        <v>65</v>
      </c>
      <c r="D12" s="111" t="s">
        <v>66</v>
      </c>
      <c r="E12" s="111" t="s">
        <v>67</v>
      </c>
      <c r="F12" s="112" t="s">
        <v>64</v>
      </c>
      <c r="G12" s="111" t="s">
        <v>63</v>
      </c>
      <c r="H12" s="27" t="s">
        <v>62</v>
      </c>
      <c r="I12" s="27" t="s">
        <v>61</v>
      </c>
      <c r="Q12" s="30">
        <f t="shared" si="8"/>
        <v>16</v>
      </c>
      <c r="R12" s="46">
        <f t="shared" si="1"/>
        <v>0.0016837918042553563</v>
      </c>
      <c r="S12" s="46">
        <f t="shared" si="2"/>
        <v>0.04630189301734054</v>
      </c>
      <c r="T12" s="46">
        <f t="shared" si="3"/>
        <v>0.04262533044500229</v>
      </c>
      <c r="U12" s="46">
        <f t="shared" si="6"/>
        <v>0.08428669715608936</v>
      </c>
      <c r="V12" s="46">
        <v>0</v>
      </c>
      <c r="W12" s="46">
        <f t="shared" si="4"/>
        <v>0.04262533044500229</v>
      </c>
      <c r="X12" s="46">
        <f t="shared" si="5"/>
        <v>0.11005468816987378</v>
      </c>
      <c r="Y12" s="46">
        <f t="shared" si="7"/>
        <v>0.06944964586023099</v>
      </c>
      <c r="Z12" s="46">
        <f t="shared" si="7"/>
        <v>0.04574743735260727</v>
      </c>
      <c r="AA12" s="46"/>
      <c r="AB12" s="8"/>
      <c r="AC12" s="33"/>
      <c r="AD12" s="22"/>
      <c r="AF12" s="8"/>
      <c r="AG12" s="8"/>
      <c r="AH12" s="98">
        <v>0.12181879120101154</v>
      </c>
      <c r="AI12" s="98">
        <v>0</v>
      </c>
      <c r="AJ12" s="98">
        <v>0.11787686347935866</v>
      </c>
      <c r="AK12" s="98">
        <v>0</v>
      </c>
      <c r="AL12" s="9"/>
      <c r="AM12" s="98">
        <v>0.12181879120101154</v>
      </c>
      <c r="AN12" s="98">
        <v>0</v>
      </c>
      <c r="AO12" s="81"/>
      <c r="AP12" s="98">
        <v>0.12181879120101154</v>
      </c>
      <c r="AQ12" s="98">
        <v>0.003646723646723647</v>
      </c>
      <c r="AR12" s="81"/>
      <c r="AS12" s="98">
        <v>0.12181879120101154</v>
      </c>
      <c r="AT12" s="98">
        <v>0</v>
      </c>
      <c r="AU12" s="81"/>
      <c r="AV12" s="98">
        <v>0.12181879120101154</v>
      </c>
      <c r="AW12" s="98">
        <v>0</v>
      </c>
      <c r="AX12" s="81"/>
      <c r="AY12" s="98">
        <v>0.12181879120101154</v>
      </c>
      <c r="AZ12" s="98">
        <v>0</v>
      </c>
      <c r="BA12" s="81"/>
      <c r="BB12" s="98">
        <v>0.12181879120101154</v>
      </c>
      <c r="BC12" s="98">
        <v>0</v>
      </c>
      <c r="BF12">
        <v>4</v>
      </c>
      <c r="BG12">
        <v>3</v>
      </c>
      <c r="BH12" s="2">
        <v>0.1</v>
      </c>
      <c r="BI12" s="2">
        <v>0.00191546303684252</v>
      </c>
      <c r="BK12">
        <v>4</v>
      </c>
      <c r="BL12">
        <v>3</v>
      </c>
      <c r="BM12" s="2">
        <v>0.1</v>
      </c>
      <c r="BN12" s="2">
        <v>0.00177535213808345</v>
      </c>
      <c r="BP12">
        <v>4</v>
      </c>
      <c r="BQ12">
        <v>3</v>
      </c>
      <c r="BR12" s="2">
        <v>0.1</v>
      </c>
      <c r="BS12" s="2">
        <v>0.0013886605359305</v>
      </c>
      <c r="BV12">
        <v>4</v>
      </c>
      <c r="BW12">
        <v>3</v>
      </c>
      <c r="BX12" s="2">
        <v>0.1</v>
      </c>
      <c r="BY12" s="2">
        <v>0.00213992286209065</v>
      </c>
    </row>
    <row r="13" spans="1:77" ht="12">
      <c r="A13" s="101"/>
      <c r="B13" s="101">
        <v>2</v>
      </c>
      <c r="C13" s="101">
        <f>(15-9.81)*B13</f>
        <v>10.379999999999999</v>
      </c>
      <c r="D13" s="101">
        <f>C13+20</f>
        <v>30.38</v>
      </c>
      <c r="E13" s="113">
        <f>C13*1</f>
        <v>10.379999999999999</v>
      </c>
      <c r="F13" s="113">
        <f>$A$9/$G$7*LOG(E13/C13)</f>
        <v>0</v>
      </c>
      <c r="G13" s="114">
        <f>$B$9/$G$7*LOG(D13/E13)</f>
        <v>0.18685922978079986</v>
      </c>
      <c r="H13" s="79">
        <f>G15/20</f>
        <v>0.009342961489039993</v>
      </c>
      <c r="I13" s="41">
        <f>$E$7/9.81/H13</f>
        <v>0.0020738763412137067</v>
      </c>
      <c r="Q13" s="30">
        <f t="shared" si="8"/>
        <v>32</v>
      </c>
      <c r="R13" s="46">
        <f t="shared" si="1"/>
        <v>0.0033675836085107127</v>
      </c>
      <c r="S13" s="46">
        <f t="shared" si="2"/>
        <v>0.0654807650686711</v>
      </c>
      <c r="T13" s="46">
        <f t="shared" si="3"/>
        <v>0.06028132041595704</v>
      </c>
      <c r="U13" s="46">
        <f t="shared" si="6"/>
        <v>0.1053583714451117</v>
      </c>
      <c r="V13" s="46">
        <v>0</v>
      </c>
      <c r="W13" s="46">
        <f t="shared" si="4"/>
        <v>0.06028132041595704</v>
      </c>
      <c r="X13" s="46">
        <f t="shared" si="5"/>
        <v>0.1445680175720464</v>
      </c>
      <c r="Y13" s="46">
        <f t="shared" si="7"/>
        <v>0.09748562228327787</v>
      </c>
      <c r="Z13" s="46">
        <f t="shared" si="7"/>
        <v>0.06580047783084915</v>
      </c>
      <c r="AA13" s="46"/>
      <c r="AB13" s="8"/>
      <c r="AC13" s="33"/>
      <c r="AD13" s="22"/>
      <c r="AF13" s="8"/>
      <c r="AG13" s="8"/>
      <c r="AH13" s="98">
        <v>0.12672349521044998</v>
      </c>
      <c r="AI13" s="98">
        <v>0</v>
      </c>
      <c r="AJ13" s="98">
        <v>0.12181879120101148</v>
      </c>
      <c r="AK13" s="98">
        <v>0</v>
      </c>
      <c r="AL13" s="9"/>
      <c r="AM13" s="98">
        <v>0.12672349521044998</v>
      </c>
      <c r="AN13" s="98">
        <v>0</v>
      </c>
      <c r="AO13" s="81"/>
      <c r="AP13" s="98">
        <v>0.12672349521044998</v>
      </c>
      <c r="AQ13" s="98">
        <v>0.003646723646723647</v>
      </c>
      <c r="AR13" s="81"/>
      <c r="AS13" s="98">
        <v>0.12672349521044998</v>
      </c>
      <c r="AT13" s="98">
        <v>0</v>
      </c>
      <c r="AU13" s="81"/>
      <c r="AV13" s="98">
        <v>0.12672349521044998</v>
      </c>
      <c r="AW13" s="98">
        <v>0</v>
      </c>
      <c r="AX13" s="81"/>
      <c r="AY13" s="98">
        <v>0.12672349521044998</v>
      </c>
      <c r="AZ13" s="98">
        <v>0</v>
      </c>
      <c r="BA13" s="81"/>
      <c r="BB13" s="98">
        <v>0.12672349521044998</v>
      </c>
      <c r="BC13" s="98">
        <v>0</v>
      </c>
      <c r="BF13">
        <v>5</v>
      </c>
      <c r="BG13">
        <v>4</v>
      </c>
      <c r="BH13" s="2">
        <v>0.55625</v>
      </c>
      <c r="BI13" s="2">
        <v>0.0113890670403297</v>
      </c>
      <c r="BK13">
        <v>5</v>
      </c>
      <c r="BL13">
        <v>4</v>
      </c>
      <c r="BM13" s="2">
        <v>0.55625</v>
      </c>
      <c r="BN13" s="2">
        <v>0.0112453133012561</v>
      </c>
      <c r="BP13">
        <v>5</v>
      </c>
      <c r="BQ13">
        <v>4</v>
      </c>
      <c r="BR13" s="2">
        <v>0.55625</v>
      </c>
      <c r="BS13" s="2">
        <v>0.0108509382044926</v>
      </c>
      <c r="BV13">
        <v>5</v>
      </c>
      <c r="BW13">
        <v>4</v>
      </c>
      <c r="BX13" s="2">
        <v>0.125754483934305</v>
      </c>
      <c r="BY13" s="2">
        <v>0.00441243072972043</v>
      </c>
    </row>
    <row r="14" spans="1:77" ht="12">
      <c r="A14" s="103"/>
      <c r="B14" s="103"/>
      <c r="C14" s="103"/>
      <c r="D14" s="103"/>
      <c r="E14" s="103"/>
      <c r="F14" s="101">
        <f>SUM(F13:F13)/2</f>
        <v>0</v>
      </c>
      <c r="G14" s="115">
        <f>SUM(G13:G13)/1</f>
        <v>0.18685922978079986</v>
      </c>
      <c r="H14" s="80"/>
      <c r="Q14" s="30">
        <f t="shared" si="8"/>
        <v>64</v>
      </c>
      <c r="R14" s="46">
        <f t="shared" si="1"/>
        <v>0.006735167217021425</v>
      </c>
      <c r="S14" s="46">
        <f t="shared" si="2"/>
        <v>0.09260378603468108</v>
      </c>
      <c r="T14" s="46">
        <f t="shared" si="3"/>
        <v>0.08525066089000458</v>
      </c>
      <c r="U14" s="46">
        <f t="shared" si="6"/>
        <v>0.12643004573413402</v>
      </c>
      <c r="V14" s="46">
        <v>0</v>
      </c>
      <c r="W14" s="46">
        <f t="shared" si="4"/>
        <v>0.08525066089000458</v>
      </c>
      <c r="X14" s="46">
        <f t="shared" si="5"/>
        <v>0.1863946974773118</v>
      </c>
      <c r="Y14" s="46">
        <f t="shared" si="7"/>
        <v>0.13478756998789565</v>
      </c>
      <c r="Z14" s="46">
        <f t="shared" si="7"/>
        <v>0.09461698161281953</v>
      </c>
      <c r="AA14" s="46"/>
      <c r="AB14" s="8"/>
      <c r="AC14" s="33"/>
      <c r="AD14" s="22"/>
      <c r="AF14" s="8"/>
      <c r="AG14" s="8"/>
      <c r="AH14" s="98">
        <v>0.13182567385564067</v>
      </c>
      <c r="AI14" s="98">
        <v>0</v>
      </c>
      <c r="AJ14" s="98">
        <v>0.12589254117941662</v>
      </c>
      <c r="AK14" s="98">
        <v>0</v>
      </c>
      <c r="AL14" s="9"/>
      <c r="AM14" s="98">
        <v>0.13182567385564067</v>
      </c>
      <c r="AN14" s="98">
        <v>0</v>
      </c>
      <c r="AO14" s="81"/>
      <c r="AP14" s="98">
        <v>0.13182567385564067</v>
      </c>
      <c r="AQ14" s="98">
        <v>0.003646723646723647</v>
      </c>
      <c r="AR14" s="81"/>
      <c r="AS14" s="98">
        <v>0.13182567385564067</v>
      </c>
      <c r="AT14" s="98">
        <v>0</v>
      </c>
      <c r="AU14" s="81"/>
      <c r="AV14" s="98">
        <v>0.13182567385564067</v>
      </c>
      <c r="AW14" s="98">
        <v>0</v>
      </c>
      <c r="AX14" s="81"/>
      <c r="AY14" s="98">
        <v>0.13182567385564067</v>
      </c>
      <c r="AZ14" s="98">
        <v>0</v>
      </c>
      <c r="BA14" s="81"/>
      <c r="BB14" s="98">
        <v>0.13182567385564067</v>
      </c>
      <c r="BC14" s="98">
        <v>0</v>
      </c>
      <c r="BF14">
        <v>6</v>
      </c>
      <c r="BG14">
        <v>5</v>
      </c>
      <c r="BH14" s="2">
        <v>0.784375</v>
      </c>
      <c r="BI14" s="2">
        <v>0.014117417204812</v>
      </c>
      <c r="BK14">
        <v>6</v>
      </c>
      <c r="BL14">
        <v>5</v>
      </c>
      <c r="BM14" s="2">
        <v>0.784375</v>
      </c>
      <c r="BN14" s="2">
        <v>0.0139724482652359</v>
      </c>
      <c r="BP14">
        <v>6</v>
      </c>
      <c r="BQ14">
        <v>5</v>
      </c>
      <c r="BR14" s="2">
        <v>0.784375</v>
      </c>
      <c r="BS14" s="2">
        <v>0.0135749486861097</v>
      </c>
      <c r="BV14">
        <v>6</v>
      </c>
      <c r="BW14">
        <v>5</v>
      </c>
      <c r="BX14" s="2">
        <v>0.15150896786861</v>
      </c>
      <c r="BY14" s="2">
        <v>0.00577717733434748</v>
      </c>
    </row>
    <row r="15" spans="1:77" ht="12.75">
      <c r="A15" s="103"/>
      <c r="B15" s="103"/>
      <c r="C15" s="103"/>
      <c r="D15" s="103"/>
      <c r="E15" s="103"/>
      <c r="F15" s="101" t="s">
        <v>17</v>
      </c>
      <c r="G15" s="116">
        <f>G14+F14</f>
        <v>0.18685922978079986</v>
      </c>
      <c r="H15" s="80"/>
      <c r="Q15" s="30">
        <f t="shared" si="8"/>
        <v>128</v>
      </c>
      <c r="R15" s="46">
        <f t="shared" si="1"/>
        <v>0.01347033443404285</v>
      </c>
      <c r="S15" s="46">
        <f t="shared" si="2"/>
        <v>0.1309615301373422</v>
      </c>
      <c r="T15" s="46">
        <f t="shared" si="3"/>
        <v>0.12056264083191408</v>
      </c>
      <c r="U15" s="46">
        <f t="shared" si="6"/>
        <v>0.14750172002315637</v>
      </c>
      <c r="V15" s="46">
        <v>0</v>
      </c>
      <c r="W15" s="46">
        <f t="shared" si="4"/>
        <v>0.12056264083191408</v>
      </c>
      <c r="X15" s="46">
        <f t="shared" si="5"/>
        <v>0.23856401685043918</v>
      </c>
      <c r="Y15" s="46">
        <f t="shared" si="7"/>
        <v>0.18468805658680387</v>
      </c>
      <c r="Z15" s="46">
        <f t="shared" si="7"/>
        <v>0.136016281593612</v>
      </c>
      <c r="AA15" s="46"/>
      <c r="AB15" s="8"/>
      <c r="AC15" s="33"/>
      <c r="AD15" s="22"/>
      <c r="AF15" s="8"/>
      <c r="AG15" s="8"/>
      <c r="AH15" s="98">
        <v>0.13713327791846375</v>
      </c>
      <c r="AI15" s="98">
        <v>0</v>
      </c>
      <c r="AJ15" s="98">
        <v>0.13010252169108302</v>
      </c>
      <c r="AK15" s="98">
        <v>0</v>
      </c>
      <c r="AL15" s="9"/>
      <c r="AM15" s="98">
        <v>0.13713327791846375</v>
      </c>
      <c r="AN15" s="98">
        <v>0</v>
      </c>
      <c r="AO15" s="81"/>
      <c r="AP15" s="98">
        <v>0.13713327791846375</v>
      </c>
      <c r="AQ15" s="98">
        <v>0.003646723646723647</v>
      </c>
      <c r="AR15" s="81"/>
      <c r="AS15" s="98">
        <v>0.13713327791846375</v>
      </c>
      <c r="AT15" s="98">
        <v>0</v>
      </c>
      <c r="AU15" s="81"/>
      <c r="AV15" s="98">
        <v>0.13713327791846375</v>
      </c>
      <c r="AW15" s="98">
        <v>0</v>
      </c>
      <c r="AX15" s="81"/>
      <c r="AY15" s="98">
        <v>0.13713327791846375</v>
      </c>
      <c r="AZ15" s="98">
        <v>0</v>
      </c>
      <c r="BA15" s="81"/>
      <c r="BB15" s="98">
        <v>0.13713327791846375</v>
      </c>
      <c r="BC15" s="98">
        <v>0</v>
      </c>
      <c r="BF15">
        <v>7</v>
      </c>
      <c r="BG15">
        <v>6</v>
      </c>
      <c r="BH15" s="2">
        <v>1.240625</v>
      </c>
      <c r="BI15" s="2">
        <v>0.0178372514282805</v>
      </c>
      <c r="BK15">
        <v>7</v>
      </c>
      <c r="BL15">
        <v>6</v>
      </c>
      <c r="BM15" s="2">
        <v>1.240625</v>
      </c>
      <c r="BN15" s="2">
        <v>0.0176907374500008</v>
      </c>
      <c r="BP15">
        <v>7</v>
      </c>
      <c r="BQ15">
        <v>6</v>
      </c>
      <c r="BR15" s="2">
        <v>1.240625</v>
      </c>
      <c r="BS15" s="2">
        <v>0.0172792120657614</v>
      </c>
      <c r="BV15">
        <v>7</v>
      </c>
      <c r="BW15">
        <v>6</v>
      </c>
      <c r="BX15" s="2">
        <v>0.164386209835762</v>
      </c>
      <c r="BY15" s="2">
        <v>0.00619743447338732</v>
      </c>
    </row>
    <row r="16" spans="1:77" ht="12">
      <c r="A16" s="103"/>
      <c r="B16" s="103"/>
      <c r="C16" s="103"/>
      <c r="D16" s="103"/>
      <c r="E16" s="103"/>
      <c r="F16" s="101" t="s">
        <v>15</v>
      </c>
      <c r="G16" s="115">
        <f>G15*4</f>
        <v>0.7474369191231994</v>
      </c>
      <c r="H16" s="80" t="s">
        <v>16</v>
      </c>
      <c r="Q16" s="30">
        <f t="shared" si="8"/>
        <v>256</v>
      </c>
      <c r="R16" s="46">
        <f t="shared" si="1"/>
        <v>0.0269406688680857</v>
      </c>
      <c r="S16" s="46">
        <f t="shared" si="2"/>
        <v>0.18520757206936217</v>
      </c>
      <c r="T16" s="46">
        <f t="shared" si="3"/>
        <v>0.17050132178000915</v>
      </c>
      <c r="U16" s="46">
        <f t="shared" si="6"/>
        <v>0.16857339431217871</v>
      </c>
      <c r="V16" s="46">
        <v>0</v>
      </c>
      <c r="W16" s="46">
        <f t="shared" si="4"/>
        <v>0.17050132178000915</v>
      </c>
      <c r="X16" s="46">
        <f t="shared" si="5"/>
        <v>0.30536003722975213</v>
      </c>
      <c r="Y16" s="46">
        <f t="shared" si="7"/>
        <v>0.25181744030033393</v>
      </c>
      <c r="Z16" s="46">
        <f t="shared" si="7"/>
        <v>0.19547817704084902</v>
      </c>
      <c r="AA16" s="46"/>
      <c r="AB16" s="8"/>
      <c r="AC16" s="33"/>
      <c r="AD16" s="22"/>
      <c r="AF16" s="8"/>
      <c r="AG16" s="8"/>
      <c r="AH16" s="98">
        <v>0.1426545782975184</v>
      </c>
      <c r="AI16" s="98">
        <v>0</v>
      </c>
      <c r="AJ16" s="98">
        <v>0.13445328842997595</v>
      </c>
      <c r="AK16" s="98">
        <v>0</v>
      </c>
      <c r="AL16" s="9"/>
      <c r="AM16" s="98">
        <v>0.1426545782975184</v>
      </c>
      <c r="AN16" s="98">
        <v>0</v>
      </c>
      <c r="AO16" s="81"/>
      <c r="AP16" s="98">
        <v>0.1426545782975184</v>
      </c>
      <c r="AQ16" s="98">
        <v>0.003646723646723647</v>
      </c>
      <c r="AR16" s="81"/>
      <c r="AS16" s="98">
        <v>0.1426545782975184</v>
      </c>
      <c r="AT16" s="98">
        <v>0</v>
      </c>
      <c r="AU16" s="81"/>
      <c r="AV16" s="98">
        <v>0.1426545782975184</v>
      </c>
      <c r="AW16" s="98">
        <v>0</v>
      </c>
      <c r="AX16" s="81"/>
      <c r="AY16" s="98">
        <v>0.1426545782975184</v>
      </c>
      <c r="AZ16" s="98">
        <v>0</v>
      </c>
      <c r="BA16" s="81"/>
      <c r="BB16" s="98">
        <v>0.1426545782975184</v>
      </c>
      <c r="BC16" s="98">
        <v>0</v>
      </c>
      <c r="BF16">
        <v>8</v>
      </c>
      <c r="BG16">
        <v>7</v>
      </c>
      <c r="BH16" s="2">
        <v>2.153125</v>
      </c>
      <c r="BI16" s="2">
        <v>0.0233020857048654</v>
      </c>
      <c r="BK16">
        <v>8</v>
      </c>
      <c r="BL16">
        <v>7</v>
      </c>
      <c r="BM16" s="2">
        <v>2.153125</v>
      </c>
      <c r="BN16" s="2">
        <v>0.0231515055382639</v>
      </c>
      <c r="BP16">
        <v>8</v>
      </c>
      <c r="BQ16">
        <v>7</v>
      </c>
      <c r="BR16" s="2">
        <v>2.153125</v>
      </c>
      <c r="BS16" s="2">
        <v>0.0226817110270749</v>
      </c>
      <c r="BV16">
        <v>8</v>
      </c>
      <c r="BW16">
        <v>7</v>
      </c>
      <c r="BX16" s="2">
        <v>0.190140693770067</v>
      </c>
      <c r="BY16" s="2">
        <v>0.00683620139302194</v>
      </c>
    </row>
    <row r="17" spans="1:77" ht="12.75">
      <c r="A17" s="103"/>
      <c r="B17" s="103"/>
      <c r="C17" s="103"/>
      <c r="D17" s="103"/>
      <c r="E17" s="103"/>
      <c r="F17" s="117"/>
      <c r="G17" s="118"/>
      <c r="H17" s="9"/>
      <c r="Q17" s="30">
        <f t="shared" si="8"/>
        <v>512</v>
      </c>
      <c r="R17" s="46">
        <f t="shared" si="1"/>
        <v>0.0538813377361714</v>
      </c>
      <c r="S17" s="46">
        <f t="shared" si="2"/>
        <v>0.2619230602746844</v>
      </c>
      <c r="T17" s="46">
        <f t="shared" si="3"/>
        <v>0.24112528166382816</v>
      </c>
      <c r="U17" s="46">
        <f t="shared" si="6"/>
        <v>0.18964506860120106</v>
      </c>
      <c r="V17" s="46">
        <v>0</v>
      </c>
      <c r="W17" s="46">
        <f t="shared" si="4"/>
        <v>0.24112528166382816</v>
      </c>
      <c r="X17" s="46">
        <f t="shared" si="5"/>
        <v>0.39284133654478903</v>
      </c>
      <c r="Y17" s="46">
        <f t="shared" si="7"/>
        <v>0.3426293996981816</v>
      </c>
      <c r="Z17" s="46">
        <f t="shared" si="7"/>
        <v>0.2808632150510514</v>
      </c>
      <c r="AA17" s="46"/>
      <c r="AB17" s="8"/>
      <c r="AC17" s="33"/>
      <c r="AD17" s="22"/>
      <c r="AF17" s="8"/>
      <c r="AG17" s="8"/>
      <c r="AH17" s="98">
        <v>0.14839817889675647</v>
      </c>
      <c r="AI17" s="98">
        <v>0</v>
      </c>
      <c r="AJ17" s="98">
        <v>0.1389495494373136</v>
      </c>
      <c r="AK17" s="98">
        <v>0</v>
      </c>
      <c r="AL17" s="9"/>
      <c r="AM17" s="98">
        <v>0.14839817889675647</v>
      </c>
      <c r="AN17" s="98">
        <v>0</v>
      </c>
      <c r="AO17" s="81"/>
      <c r="AP17" s="98">
        <v>0.14839817889675647</v>
      </c>
      <c r="AQ17" s="98">
        <v>0.003646723646723647</v>
      </c>
      <c r="AR17" s="81"/>
      <c r="AS17" s="98">
        <v>0.14839817889675647</v>
      </c>
      <c r="AT17" s="98">
        <v>0</v>
      </c>
      <c r="AU17" s="81"/>
      <c r="AV17" s="98">
        <v>0.14839817889675647</v>
      </c>
      <c r="AW17" s="98">
        <v>0</v>
      </c>
      <c r="AX17" s="81"/>
      <c r="AY17" s="98">
        <v>0.14839817889675647</v>
      </c>
      <c r="AZ17" s="98">
        <v>0</v>
      </c>
      <c r="BA17" s="81"/>
      <c r="BB17" s="98">
        <v>0.14839817889675647</v>
      </c>
      <c r="BC17" s="98">
        <v>0</v>
      </c>
      <c r="BF17">
        <v>9</v>
      </c>
      <c r="BG17">
        <v>8</v>
      </c>
      <c r="BH17" s="2">
        <v>3.978125</v>
      </c>
      <c r="BI17" s="2">
        <v>0.0313157044885416</v>
      </c>
      <c r="BK17">
        <v>9</v>
      </c>
      <c r="BL17">
        <v>8</v>
      </c>
      <c r="BM17" s="2">
        <v>3.978125</v>
      </c>
      <c r="BN17" s="2">
        <v>0.0311485256791748</v>
      </c>
      <c r="BP17">
        <v>9</v>
      </c>
      <c r="BQ17">
        <v>8</v>
      </c>
      <c r="BR17" s="2">
        <v>3.978125</v>
      </c>
      <c r="BS17" s="2">
        <v>0.0304249910893357</v>
      </c>
      <c r="BV17">
        <v>9</v>
      </c>
      <c r="BW17">
        <v>8</v>
      </c>
      <c r="BX17" s="2">
        <v>0.241649661638677</v>
      </c>
      <c r="BY17" s="2">
        <v>0.00784495985663</v>
      </c>
    </row>
    <row r="18" spans="1:77" ht="12.75">
      <c r="A18" s="105" t="s">
        <v>21</v>
      </c>
      <c r="B18" s="103"/>
      <c r="C18" s="103"/>
      <c r="D18" s="103"/>
      <c r="E18" s="103"/>
      <c r="F18" s="108"/>
      <c r="G18" s="119"/>
      <c r="H18" s="81"/>
      <c r="Q18" s="30">
        <f t="shared" si="8"/>
        <v>1024</v>
      </c>
      <c r="R18" s="46">
        <f t="shared" si="1"/>
        <v>0.1077626754723428</v>
      </c>
      <c r="S18" s="46">
        <f t="shared" si="2"/>
        <v>0.37041514413872434</v>
      </c>
      <c r="T18" s="46">
        <f t="shared" si="3"/>
        <v>0.3410026435600183</v>
      </c>
      <c r="U18" s="46">
        <f t="shared" si="6"/>
        <v>0.2107167428902234</v>
      </c>
      <c r="V18" s="46">
        <v>0</v>
      </c>
      <c r="W18" s="46">
        <f t="shared" si="4"/>
        <v>0.3410026435600183</v>
      </c>
      <c r="X18" s="46">
        <f t="shared" si="5"/>
        <v>0.5095760378721971</v>
      </c>
      <c r="Y18" s="46">
        <f t="shared" si="7"/>
        <v>0.46614249984900696</v>
      </c>
      <c r="Z18" s="46">
        <f t="shared" si="7"/>
        <v>0.403444781712118</v>
      </c>
      <c r="AA18" s="46"/>
      <c r="AB18" s="8"/>
      <c r="AC18" s="33"/>
      <c r="AD18" s="22"/>
      <c r="AF18" s="8"/>
      <c r="AG18" s="8"/>
      <c r="AH18" s="98">
        <v>0.15437303003304192</v>
      </c>
      <c r="AI18" s="98">
        <v>0</v>
      </c>
      <c r="AJ18" s="98">
        <v>0.14359617019622128</v>
      </c>
      <c r="AK18" s="98">
        <v>0</v>
      </c>
      <c r="AL18" s="9"/>
      <c r="AM18" s="98">
        <v>0.15437303003304192</v>
      </c>
      <c r="AN18" s="98">
        <v>0</v>
      </c>
      <c r="AO18" s="81"/>
      <c r="AP18" s="98">
        <v>0.15437303003304192</v>
      </c>
      <c r="AQ18" s="98">
        <v>0.003646723646723647</v>
      </c>
      <c r="AR18" s="81"/>
      <c r="AS18" s="98">
        <v>0.15437303003304192</v>
      </c>
      <c r="AT18" s="98">
        <v>0</v>
      </c>
      <c r="AU18" s="81"/>
      <c r="AV18" s="98">
        <v>0.15437303003304192</v>
      </c>
      <c r="AW18" s="98">
        <v>0</v>
      </c>
      <c r="AX18" s="81"/>
      <c r="AY18" s="98">
        <v>0.15437303003304192</v>
      </c>
      <c r="AZ18" s="98">
        <v>0</v>
      </c>
      <c r="BA18" s="81"/>
      <c r="BB18" s="98">
        <v>0.15437303003304192</v>
      </c>
      <c r="BC18" s="98">
        <v>0</v>
      </c>
      <c r="BF18">
        <v>10</v>
      </c>
      <c r="BG18">
        <v>9</v>
      </c>
      <c r="BH18" s="2">
        <v>7.628125</v>
      </c>
      <c r="BI18" s="2">
        <v>0.042979572157326</v>
      </c>
      <c r="BK18">
        <v>10</v>
      </c>
      <c r="BL18">
        <v>9</v>
      </c>
      <c r="BM18" s="2">
        <v>7.628125</v>
      </c>
      <c r="BN18" s="2">
        <v>0.0427243185866987</v>
      </c>
      <c r="BP18">
        <v>10</v>
      </c>
      <c r="BQ18">
        <v>9</v>
      </c>
      <c r="BR18" s="2">
        <v>5.803125</v>
      </c>
      <c r="BS18" s="2">
        <v>0.0364519452245376</v>
      </c>
      <c r="BV18">
        <v>10</v>
      </c>
      <c r="BW18">
        <v>9</v>
      </c>
      <c r="BX18" s="2">
        <v>0.293158629507287</v>
      </c>
      <c r="BY18" s="2">
        <v>0.00871987349114707</v>
      </c>
    </row>
    <row r="19" spans="1:77" ht="33" customHeight="1">
      <c r="A19" s="101"/>
      <c r="B19" s="110" t="s">
        <v>14</v>
      </c>
      <c r="C19" s="111" t="s">
        <v>65</v>
      </c>
      <c r="D19" s="111" t="s">
        <v>66</v>
      </c>
      <c r="E19" s="111" t="s">
        <v>67</v>
      </c>
      <c r="F19" s="112" t="s">
        <v>64</v>
      </c>
      <c r="G19" s="120" t="s">
        <v>63</v>
      </c>
      <c r="H19" s="82" t="s">
        <v>62</v>
      </c>
      <c r="I19" s="27" t="s">
        <v>61</v>
      </c>
      <c r="Q19" s="30">
        <v>1000</v>
      </c>
      <c r="R19" s="46">
        <f t="shared" si="1"/>
        <v>0.10523698776595977</v>
      </c>
      <c r="S19" s="46">
        <f t="shared" si="2"/>
        <v>0.3660486047806057</v>
      </c>
      <c r="T19" s="46">
        <f t="shared" si="3"/>
        <v>0.3369828255588146</v>
      </c>
      <c r="U19" s="46">
        <f t="shared" si="6"/>
        <v>0.209995760481057</v>
      </c>
      <c r="V19" s="46">
        <v>0</v>
      </c>
      <c r="W19" s="46">
        <f t="shared" si="4"/>
        <v>0.3369828255588146</v>
      </c>
      <c r="X19" s="46">
        <f t="shared" si="5"/>
        <v>0.5049794339436602</v>
      </c>
      <c r="Y19" s="46">
        <f>$T19+(0.8*$S19^Y$5*$U19+(1-0.8*$S19^Y$5)*$V19)</f>
        <v>0.4612516359105081</v>
      </c>
      <c r="Z19" s="46">
        <f t="shared" si="7"/>
        <v>0.3984777496659611</v>
      </c>
      <c r="AA19" s="46"/>
      <c r="AB19" s="8"/>
      <c r="AC19" s="33"/>
      <c r="AD19" s="22"/>
      <c r="AF19" s="8"/>
      <c r="AG19" s="8"/>
      <c r="AH19" s="98">
        <v>0.16058844238352937</v>
      </c>
      <c r="AI19" s="98">
        <v>0</v>
      </c>
      <c r="AJ19" s="98">
        <v>0.14839817889675633</v>
      </c>
      <c r="AK19" s="98">
        <v>0</v>
      </c>
      <c r="AL19" s="9"/>
      <c r="AM19" s="98">
        <v>0.16058844238352937</v>
      </c>
      <c r="AN19" s="98">
        <v>0</v>
      </c>
      <c r="AO19" s="81"/>
      <c r="AP19" s="98">
        <v>0.16058844238352937</v>
      </c>
      <c r="AQ19" s="98">
        <v>0.003646723646723647</v>
      </c>
      <c r="AR19" s="81"/>
      <c r="AS19" s="98">
        <v>0.16058844238352937</v>
      </c>
      <c r="AT19" s="98">
        <v>0</v>
      </c>
      <c r="AU19" s="81"/>
      <c r="AV19" s="98">
        <v>0.16058844238352937</v>
      </c>
      <c r="AW19" s="98">
        <v>0</v>
      </c>
      <c r="AX19" s="81"/>
      <c r="AY19" s="98">
        <v>0.16058844238352937</v>
      </c>
      <c r="AZ19" s="98">
        <v>0</v>
      </c>
      <c r="BA19" s="81"/>
      <c r="BB19" s="98">
        <v>0.16058844238352937</v>
      </c>
      <c r="BC19" s="98">
        <v>0</v>
      </c>
      <c r="BF19">
        <v>11</v>
      </c>
      <c r="BG19">
        <v>10</v>
      </c>
      <c r="BH19" s="2">
        <v>14.928125</v>
      </c>
      <c r="BI19" s="2">
        <v>0.0597701948598718</v>
      </c>
      <c r="BK19">
        <v>11</v>
      </c>
      <c r="BL19">
        <v>10</v>
      </c>
      <c r="BM19" s="2">
        <v>14.928125</v>
      </c>
      <c r="BN19" s="2">
        <v>0.0591722033114218</v>
      </c>
      <c r="BP19">
        <v>11</v>
      </c>
      <c r="BQ19">
        <v>10</v>
      </c>
      <c r="BR19" s="2">
        <v>9.453125</v>
      </c>
      <c r="BS19" s="2">
        <v>0.0456647296871987</v>
      </c>
      <c r="BV19">
        <v>11</v>
      </c>
      <c r="BW19">
        <v>10</v>
      </c>
      <c r="BX19" s="2">
        <v>0.396176565244506</v>
      </c>
      <c r="BY19" s="2">
        <v>0.0101874920632478</v>
      </c>
    </row>
    <row r="20" spans="1:77" ht="12">
      <c r="A20" s="101"/>
      <c r="B20" s="101">
        <v>1</v>
      </c>
      <c r="C20" s="101">
        <f>(15-9.81)*B20</f>
        <v>5.1899999999999995</v>
      </c>
      <c r="D20" s="101">
        <f>C20+20</f>
        <v>25.189999999999998</v>
      </c>
      <c r="E20" s="113">
        <f>C20*1</f>
        <v>5.1899999999999995</v>
      </c>
      <c r="F20" s="113">
        <f>$A$9/$G$7*LOG(E20/C20)</f>
        <v>0</v>
      </c>
      <c r="G20" s="114">
        <f>$B$9/$G$7*LOG(D20/E20)</f>
        <v>0.27487013041448954</v>
      </c>
      <c r="H20" s="79">
        <f>G23/20</f>
        <v>0.010465534470860125</v>
      </c>
      <c r="I20" s="41">
        <f>$E$7/9.81/H20</f>
        <v>0.0018514244870093451</v>
      </c>
      <c r="Q20" s="30">
        <v>2000</v>
      </c>
      <c r="R20" s="46">
        <f t="shared" si="1"/>
        <v>0.21047397553191954</v>
      </c>
      <c r="S20" s="46">
        <f t="shared" si="2"/>
        <v>0.5176709013684815</v>
      </c>
      <c r="T20" s="46">
        <f t="shared" si="3"/>
        <v>0.4765656821920824</v>
      </c>
      <c r="U20" s="46">
        <f t="shared" si="6"/>
        <v>0.23106743477007932</v>
      </c>
      <c r="V20" s="46">
        <v>0</v>
      </c>
      <c r="W20" s="46">
        <f>T20+V20</f>
        <v>0.4765656821920824</v>
      </c>
      <c r="X20" s="46">
        <f t="shared" si="5"/>
        <v>0.6614196300081459</v>
      </c>
      <c r="Y20" s="46">
        <f t="shared" si="7"/>
        <v>0.6282863885937442</v>
      </c>
      <c r="Z20" s="46">
        <f t="shared" si="7"/>
        <v>0.5722591919795462</v>
      </c>
      <c r="AA20" s="46"/>
      <c r="AB20" s="8"/>
      <c r="AC20" s="33"/>
      <c r="AD20" s="22"/>
      <c r="AF20" s="8"/>
      <c r="AG20" s="8"/>
      <c r="AH20" s="98">
        <v>0.1670541014945962</v>
      </c>
      <c r="AI20" s="98">
        <v>0</v>
      </c>
      <c r="AJ20" s="98">
        <v>0.15336077187700092</v>
      </c>
      <c r="AK20" s="98">
        <v>0</v>
      </c>
      <c r="AL20" s="9"/>
      <c r="AM20" s="98">
        <v>0.1670541014945962</v>
      </c>
      <c r="AN20" s="98">
        <v>0</v>
      </c>
      <c r="AO20" s="81"/>
      <c r="AP20" s="98">
        <v>0.1670541014945962</v>
      </c>
      <c r="AQ20" s="98">
        <v>0.003646723646723647</v>
      </c>
      <c r="AR20" s="81"/>
      <c r="AS20" s="98">
        <v>0.1670541014945962</v>
      </c>
      <c r="AT20" s="98">
        <v>0</v>
      </c>
      <c r="AU20" s="81"/>
      <c r="AV20" s="98">
        <v>0.1670541014945962</v>
      </c>
      <c r="AW20" s="98">
        <v>0</v>
      </c>
      <c r="AX20" s="81"/>
      <c r="AY20" s="98">
        <v>0.1670541014945962</v>
      </c>
      <c r="AZ20" s="98">
        <v>0</v>
      </c>
      <c r="BA20" s="81"/>
      <c r="BB20" s="98">
        <v>0.1670541014945962</v>
      </c>
      <c r="BC20" s="98">
        <v>0</v>
      </c>
      <c r="BF20">
        <v>12</v>
      </c>
      <c r="BG20">
        <v>11</v>
      </c>
      <c r="BH20" s="2">
        <v>29.528125</v>
      </c>
      <c r="BI20" s="2">
        <v>0.0835576850263202</v>
      </c>
      <c r="BK20">
        <v>12</v>
      </c>
      <c r="BL20">
        <v>11</v>
      </c>
      <c r="BM20" s="2">
        <v>29.528125</v>
      </c>
      <c r="BN20" s="2">
        <v>0.0820393351638932</v>
      </c>
      <c r="BP20">
        <v>12</v>
      </c>
      <c r="BQ20">
        <v>11</v>
      </c>
      <c r="BR20" s="2">
        <v>13.103125</v>
      </c>
      <c r="BS20" s="2">
        <v>0.0530225552610124</v>
      </c>
      <c r="BV20">
        <v>12</v>
      </c>
      <c r="BW20">
        <v>11</v>
      </c>
      <c r="BX20" s="2">
        <v>0.602212436718945</v>
      </c>
      <c r="BY20" s="2">
        <v>0.0124976533096665</v>
      </c>
    </row>
    <row r="21" spans="1:77" ht="12">
      <c r="A21" s="101"/>
      <c r="B21" s="101">
        <f>B20+2</f>
        <v>3</v>
      </c>
      <c r="C21" s="101">
        <f>(15-9.81)*B21</f>
        <v>15.569999999999999</v>
      </c>
      <c r="D21" s="101">
        <f>C21+20</f>
        <v>35.57</v>
      </c>
      <c r="E21" s="113">
        <f>C21*1</f>
        <v>15.569999999999999</v>
      </c>
      <c r="F21" s="113">
        <f>$A$9/$G$7*LOG(E21/C21)</f>
        <v>0</v>
      </c>
      <c r="G21" s="114">
        <f>$B$9/$G$7*LOG(D21/E21)</f>
        <v>0.1437512484199155</v>
      </c>
      <c r="H21" s="80"/>
      <c r="I21" s="42"/>
      <c r="Q21" s="30">
        <v>4000</v>
      </c>
      <c r="R21" s="46">
        <f t="shared" si="1"/>
        <v>0.4209479510638391</v>
      </c>
      <c r="S21" s="46">
        <f aca="true" t="shared" si="9" ref="S21:S27">1-10^((R21+0.085)/(-0.933))</f>
        <v>0.7131074716665629</v>
      </c>
      <c r="T21" s="46">
        <f t="shared" si="3"/>
        <v>0.6564837772659439</v>
      </c>
      <c r="U21" s="46">
        <f t="shared" si="6"/>
        <v>0.2521391090591017</v>
      </c>
      <c r="V21" s="46">
        <v>0</v>
      </c>
      <c r="W21" s="46">
        <f t="shared" si="4"/>
        <v>0.6564837772659439</v>
      </c>
      <c r="X21" s="46">
        <f>T21+(0.8*U21+0.2*V21)</f>
        <v>0.8581950645132252</v>
      </c>
      <c r="Y21" s="46">
        <f t="shared" si="7"/>
        <v>0.8387376212495329</v>
      </c>
      <c r="Z21" s="46">
        <f t="shared" si="7"/>
        <v>0.8003256033214605</v>
      </c>
      <c r="AA21" s="46"/>
      <c r="AB21" s="8"/>
      <c r="AC21" s="33"/>
      <c r="AD21" s="22"/>
      <c r="AF21" s="8"/>
      <c r="AG21" s="8"/>
      <c r="AH21" s="98">
        <v>0.17378008287493746</v>
      </c>
      <c r="AI21" s="98">
        <v>0</v>
      </c>
      <c r="AJ21" s="98">
        <v>0.1584893192461111</v>
      </c>
      <c r="AK21" s="98">
        <v>0</v>
      </c>
      <c r="AL21" s="9"/>
      <c r="AM21" s="98">
        <v>0.17378008287493746</v>
      </c>
      <c r="AN21" s="98">
        <v>0</v>
      </c>
      <c r="AO21" s="81"/>
      <c r="AP21" s="98">
        <v>0.17378008287493746</v>
      </c>
      <c r="AQ21" s="98">
        <v>0.003646723646723647</v>
      </c>
      <c r="AR21" s="81"/>
      <c r="AS21" s="98">
        <v>0.17378008287493746</v>
      </c>
      <c r="AT21" s="98">
        <v>0</v>
      </c>
      <c r="AU21" s="81"/>
      <c r="AV21" s="98">
        <v>0.17378008287493746</v>
      </c>
      <c r="AW21" s="98">
        <v>0</v>
      </c>
      <c r="AX21" s="81"/>
      <c r="AY21" s="98">
        <v>0.17378008287493746</v>
      </c>
      <c r="AZ21" s="98">
        <v>0</v>
      </c>
      <c r="BA21" s="81"/>
      <c r="BB21" s="98">
        <v>0.17378008287493746</v>
      </c>
      <c r="BC21" s="98">
        <v>0</v>
      </c>
      <c r="BF21">
        <v>13</v>
      </c>
      <c r="BG21">
        <v>12</v>
      </c>
      <c r="BH21" s="2">
        <v>58.728125</v>
      </c>
      <c r="BI21" s="2">
        <v>0.11664931208593</v>
      </c>
      <c r="BK21">
        <v>13</v>
      </c>
      <c r="BL21">
        <v>12</v>
      </c>
      <c r="BM21" s="2">
        <v>58.728125</v>
      </c>
      <c r="BN21" s="2">
        <v>0.113149844294072</v>
      </c>
      <c r="BP21">
        <v>13</v>
      </c>
      <c r="BQ21">
        <v>12</v>
      </c>
      <c r="BR21" s="2">
        <v>20.403125</v>
      </c>
      <c r="BS21" s="2">
        <v>0.064449974204825</v>
      </c>
      <c r="BV21">
        <v>13</v>
      </c>
      <c r="BW21">
        <v>12</v>
      </c>
      <c r="BX21" s="2">
        <v>1.01428417966782</v>
      </c>
      <c r="BY21" s="2">
        <v>0.0160176209418295</v>
      </c>
    </row>
    <row r="22" spans="1:77" ht="12">
      <c r="A22" s="103"/>
      <c r="B22" s="103"/>
      <c r="C22" s="103"/>
      <c r="D22" s="103"/>
      <c r="E22" s="103"/>
      <c r="F22" s="101">
        <f>SUM(F20:F20)/2</f>
        <v>0</v>
      </c>
      <c r="G22" s="115">
        <f>SUM(G20:G21)/2</f>
        <v>0.20931068941720252</v>
      </c>
      <c r="H22" s="80"/>
      <c r="I22" s="43"/>
      <c r="Q22" s="30">
        <v>7000</v>
      </c>
      <c r="R22" s="46">
        <f t="shared" si="1"/>
        <v>0.7366589143617184</v>
      </c>
      <c r="S22" s="46">
        <f t="shared" si="9"/>
        <v>0.8683755284568564</v>
      </c>
      <c r="T22" s="46">
        <f t="shared" si="3"/>
        <v>0.7994229056026838</v>
      </c>
      <c r="U22" s="46">
        <f t="shared" si="6"/>
        <v>0.2691514290123385</v>
      </c>
      <c r="V22" s="46">
        <v>0</v>
      </c>
      <c r="W22" s="46">
        <f t="shared" si="4"/>
        <v>0.7994229056026838</v>
      </c>
      <c r="X22" s="46">
        <f t="shared" si="5"/>
        <v>1.0147440488125548</v>
      </c>
      <c r="Y22" s="46">
        <f t="shared" si="7"/>
        <v>1.0058177999492184</v>
      </c>
      <c r="Z22" s="46">
        <f t="shared" si="7"/>
        <v>0.9864025171254899</v>
      </c>
      <c r="AA22" s="46"/>
      <c r="AB22" s="8"/>
      <c r="AC22" s="33"/>
      <c r="AD22" s="22"/>
      <c r="AF22" s="8"/>
      <c r="AG22" s="8"/>
      <c r="AH22" s="98">
        <v>0.18077686769634332</v>
      </c>
      <c r="AI22" s="98">
        <v>0</v>
      </c>
      <c r="AJ22" s="98">
        <v>0.1637893706954061</v>
      </c>
      <c r="AK22" s="98">
        <v>0</v>
      </c>
      <c r="AL22" s="9"/>
      <c r="AM22" s="98">
        <v>0.18077686769634332</v>
      </c>
      <c r="AN22" s="98">
        <v>0</v>
      </c>
      <c r="AO22" s="81"/>
      <c r="AP22" s="98">
        <v>0.18077686769634332</v>
      </c>
      <c r="AQ22" s="98">
        <v>0.003646723646723647</v>
      </c>
      <c r="AR22" s="81"/>
      <c r="AS22" s="98">
        <v>0.18077686769634332</v>
      </c>
      <c r="AT22" s="98">
        <v>0</v>
      </c>
      <c r="AU22" s="81"/>
      <c r="AV22" s="98">
        <v>0.18077686769634332</v>
      </c>
      <c r="AW22" s="98">
        <v>0</v>
      </c>
      <c r="AX22" s="81"/>
      <c r="AY22" s="98">
        <v>0.18077686769634332</v>
      </c>
      <c r="AZ22" s="98">
        <v>0</v>
      </c>
      <c r="BA22" s="81"/>
      <c r="BB22" s="98">
        <v>0.18077686769634332</v>
      </c>
      <c r="BC22" s="98">
        <v>0</v>
      </c>
      <c r="BF22">
        <v>14</v>
      </c>
      <c r="BG22">
        <v>13</v>
      </c>
      <c r="BH22" s="2">
        <v>117.128125</v>
      </c>
      <c r="BI22" s="2">
        <v>0.161845756453069</v>
      </c>
      <c r="BK22">
        <v>14</v>
      </c>
      <c r="BL22">
        <v>13</v>
      </c>
      <c r="BM22" s="2">
        <v>117.128125</v>
      </c>
      <c r="BN22" s="2">
        <v>0.1545840467015</v>
      </c>
      <c r="BP22">
        <v>14</v>
      </c>
      <c r="BQ22">
        <v>13</v>
      </c>
      <c r="BR22" s="2">
        <v>27.703125</v>
      </c>
      <c r="BS22" s="2">
        <v>0.0736027709835687</v>
      </c>
      <c r="BV22">
        <v>14</v>
      </c>
      <c r="BW22">
        <v>13</v>
      </c>
      <c r="BX22" s="2">
        <v>1.83842766556558</v>
      </c>
      <c r="BY22" s="2">
        <v>0.0212530083846525</v>
      </c>
    </row>
    <row r="23" spans="1:77" ht="12.75">
      <c r="A23" s="103"/>
      <c r="B23" s="103"/>
      <c r="C23" s="103"/>
      <c r="D23" s="103"/>
      <c r="E23" s="103"/>
      <c r="F23" s="101" t="s">
        <v>17</v>
      </c>
      <c r="G23" s="116">
        <f>G22+F22</f>
        <v>0.20931068941720252</v>
      </c>
      <c r="H23" s="80"/>
      <c r="I23" s="43"/>
      <c r="Q23" s="30">
        <v>11300</v>
      </c>
      <c r="R23" s="46">
        <f t="shared" si="1"/>
        <v>1.1891779617553455</v>
      </c>
      <c r="S23" s="95">
        <f t="shared" si="9"/>
        <v>0.9569154477066287</v>
      </c>
      <c r="T23" s="46">
        <f t="shared" si="3"/>
        <v>0.8809323876055459</v>
      </c>
      <c r="U23" s="46">
        <f t="shared" si="6"/>
        <v>0.28370976334289316</v>
      </c>
      <c r="V23" s="46">
        <v>0</v>
      </c>
      <c r="W23" s="46">
        <f t="shared" si="4"/>
        <v>0.8809323876055459</v>
      </c>
      <c r="X23" s="46">
        <f t="shared" si="5"/>
        <v>1.1079001982798604</v>
      </c>
      <c r="Y23" s="46">
        <f t="shared" si="7"/>
        <v>1.1049212056979485</v>
      </c>
      <c r="Z23" s="46">
        <f t="shared" si="7"/>
        <v>1.098121391771951</v>
      </c>
      <c r="AA23" s="46"/>
      <c r="AB23" s="8"/>
      <c r="AC23" s="33"/>
      <c r="AD23" s="22"/>
      <c r="AF23" s="8"/>
      <c r="AG23" s="8"/>
      <c r="AH23" s="98">
        <v>0.18805535912662616</v>
      </c>
      <c r="AI23" s="98">
        <v>0</v>
      </c>
      <c r="AJ23" s="98">
        <v>0.16926666150378727</v>
      </c>
      <c r="AK23" s="98">
        <v>0</v>
      </c>
      <c r="AL23" s="9"/>
      <c r="AM23" s="98">
        <v>0.18805535912662616</v>
      </c>
      <c r="AN23" s="98">
        <v>0</v>
      </c>
      <c r="AO23" s="81"/>
      <c r="AP23" s="98">
        <v>0.18805535912662616</v>
      </c>
      <c r="AQ23" s="98">
        <v>0.003646723646723647</v>
      </c>
      <c r="AR23" s="81"/>
      <c r="AS23" s="98">
        <v>0.18805535912662616</v>
      </c>
      <c r="AT23" s="98">
        <v>0</v>
      </c>
      <c r="AU23" s="81"/>
      <c r="AV23" s="98">
        <v>0.18805535912662616</v>
      </c>
      <c r="AW23" s="98">
        <v>0</v>
      </c>
      <c r="AX23" s="81"/>
      <c r="AY23" s="98">
        <v>0.18805535912662616</v>
      </c>
      <c r="AZ23" s="98">
        <v>0.002057142857142857</v>
      </c>
      <c r="BA23" s="81"/>
      <c r="BB23" s="98">
        <v>0.18805535912662616</v>
      </c>
      <c r="BC23" s="98">
        <v>0</v>
      </c>
      <c r="BF23">
        <v>15</v>
      </c>
      <c r="BG23">
        <v>14</v>
      </c>
      <c r="BH23" s="2">
        <v>233.928125</v>
      </c>
      <c r="BI23" s="2">
        <v>0.222570597581419</v>
      </c>
      <c r="BK23">
        <v>15</v>
      </c>
      <c r="BL23">
        <v>14</v>
      </c>
      <c r="BM23" s="2">
        <v>233.928125</v>
      </c>
      <c r="BN23" s="2">
        <v>0.208551648885575</v>
      </c>
      <c r="BP23">
        <v>15</v>
      </c>
      <c r="BQ23">
        <v>14</v>
      </c>
      <c r="BR23" s="2">
        <v>42.303125</v>
      </c>
      <c r="BS23" s="2">
        <v>0.0877916275069215</v>
      </c>
      <c r="BV23">
        <v>15</v>
      </c>
      <c r="BW23">
        <v>14</v>
      </c>
      <c r="BX23" s="2">
        <v>3.48671463736109</v>
      </c>
      <c r="BY23" s="2">
        <v>0.0289233790411179</v>
      </c>
    </row>
    <row r="24" spans="1:77" ht="15">
      <c r="A24" s="103"/>
      <c r="B24" s="103"/>
      <c r="C24" s="103"/>
      <c r="D24" s="103"/>
      <c r="E24" s="103"/>
      <c r="F24" s="101" t="s">
        <v>15</v>
      </c>
      <c r="G24" s="115">
        <f>G23*4</f>
        <v>0.8372427576688101</v>
      </c>
      <c r="H24" s="80" t="s">
        <v>16</v>
      </c>
      <c r="I24" s="43"/>
      <c r="O24" s="68" t="s">
        <v>69</v>
      </c>
      <c r="P24" s="93">
        <f>Q24/365</f>
        <v>38.5972602739726</v>
      </c>
      <c r="Q24" s="94">
        <v>14088</v>
      </c>
      <c r="R24" s="96">
        <f t="shared" si="1"/>
        <v>1.4825786836468413</v>
      </c>
      <c r="S24" s="96">
        <f t="shared" si="9"/>
        <v>0.9791141883447028</v>
      </c>
      <c r="T24" s="96">
        <f t="shared" si="3"/>
        <v>0.901368456057573</v>
      </c>
      <c r="U24" s="96">
        <f t="shared" si="6"/>
        <v>0.2904135909653517</v>
      </c>
      <c r="V24" s="96">
        <f>$C$9/$G$7*LOG(Q24/$Q$24)*4</f>
        <v>0</v>
      </c>
      <c r="W24" s="96">
        <f t="shared" si="4"/>
        <v>0.901368456057573</v>
      </c>
      <c r="X24" s="96">
        <f t="shared" si="5"/>
        <v>1.1336993288298545</v>
      </c>
      <c r="Y24" s="96">
        <f t="shared" si="7"/>
        <v>1.1322328340229868</v>
      </c>
      <c r="Z24" s="96">
        <f t="shared" si="7"/>
        <v>1.1288469099794216</v>
      </c>
      <c r="AA24" s="96"/>
      <c r="AB24" s="8"/>
      <c r="AC24" s="33"/>
      <c r="AD24" s="22"/>
      <c r="AF24" s="8"/>
      <c r="AG24" s="8"/>
      <c r="AH24" s="98">
        <v>0.19562689932014837</v>
      </c>
      <c r="AI24" s="98">
        <v>0</v>
      </c>
      <c r="AJ24" s="98">
        <v>0.17492711874398387</v>
      </c>
      <c r="AK24" s="98">
        <v>0</v>
      </c>
      <c r="AL24" s="9"/>
      <c r="AM24" s="98">
        <v>0.19562689932014837</v>
      </c>
      <c r="AN24" s="98">
        <v>0</v>
      </c>
      <c r="AO24" s="81"/>
      <c r="AP24" s="98">
        <v>0.19562689932014837</v>
      </c>
      <c r="AQ24" s="98">
        <v>0.003646723646723647</v>
      </c>
      <c r="AR24" s="81"/>
      <c r="AS24" s="98">
        <v>0.19562689932014837</v>
      </c>
      <c r="AT24" s="98">
        <v>0</v>
      </c>
      <c r="AU24" s="81"/>
      <c r="AV24" s="98">
        <v>0.19562689932014837</v>
      </c>
      <c r="AW24" s="98">
        <v>0</v>
      </c>
      <c r="AX24" s="81"/>
      <c r="AY24" s="98">
        <v>0.19562689932014837</v>
      </c>
      <c r="AZ24" s="98">
        <v>0.002057142857142857</v>
      </c>
      <c r="BA24" s="81"/>
      <c r="BB24" s="98">
        <v>0.19562689932014837</v>
      </c>
      <c r="BC24" s="98">
        <v>0</v>
      </c>
      <c r="BF24">
        <v>16</v>
      </c>
      <c r="BG24">
        <v>15</v>
      </c>
      <c r="BH24" s="2">
        <v>467.528125</v>
      </c>
      <c r="BI24" s="2">
        <v>0.30292006799814297</v>
      </c>
      <c r="BK24">
        <v>16</v>
      </c>
      <c r="BL24">
        <v>15</v>
      </c>
      <c r="BM24" s="2">
        <v>467.528125</v>
      </c>
      <c r="BN24" s="2">
        <v>0.277005493639357</v>
      </c>
      <c r="BP24">
        <v>16</v>
      </c>
      <c r="BQ24">
        <v>15</v>
      </c>
      <c r="BR24" s="2">
        <v>56.903125</v>
      </c>
      <c r="BS24" s="2">
        <v>0.0990585550922817</v>
      </c>
      <c r="BV24">
        <v>16</v>
      </c>
      <c r="BW24">
        <v>15</v>
      </c>
      <c r="BX24" s="2">
        <v>6.78328858095212</v>
      </c>
      <c r="BY24" s="2">
        <v>0.0400783971000631</v>
      </c>
    </row>
    <row r="25" spans="1:77" ht="12.75">
      <c r="A25" s="117"/>
      <c r="B25" s="117"/>
      <c r="C25" s="117"/>
      <c r="D25" s="103"/>
      <c r="E25" s="121"/>
      <c r="F25" s="117"/>
      <c r="G25" s="122"/>
      <c r="H25" s="81"/>
      <c r="I25" s="43"/>
      <c r="P25">
        <v>45</v>
      </c>
      <c r="Q25" s="30">
        <f>45*365</f>
        <v>16425</v>
      </c>
      <c r="R25" s="46">
        <f t="shared" si="1"/>
        <v>1.7285175240558892</v>
      </c>
      <c r="S25" s="46">
        <f t="shared" si="9"/>
        <v>0.9886171421080758</v>
      </c>
      <c r="T25" s="46">
        <f t="shared" si="3"/>
        <v>0.9101168358314983</v>
      </c>
      <c r="U25" s="46">
        <f t="shared" si="6"/>
        <v>0.2950794192379255</v>
      </c>
      <c r="V25" s="46">
        <f>$C$9/$G$7*LOG(Q25/$Q$24)*4</f>
        <v>0.004665828272573785</v>
      </c>
      <c r="W25" s="46">
        <f t="shared" si="4"/>
        <v>0.914782664104072</v>
      </c>
      <c r="X25" s="46">
        <f t="shared" si="5"/>
        <v>1.1471135368763534</v>
      </c>
      <c r="Y25" s="46">
        <f t="shared" si="7"/>
        <v>1.1463169787242689</v>
      </c>
      <c r="Z25" s="46">
        <f t="shared" si="7"/>
        <v>1.14446894756768</v>
      </c>
      <c r="AA25" s="46"/>
      <c r="AB25" s="8"/>
      <c r="AC25" s="33"/>
      <c r="AD25" s="22"/>
      <c r="AF25" s="8"/>
      <c r="AG25" s="8"/>
      <c r="AH25" s="98">
        <v>0.20350328709242804</v>
      </c>
      <c r="AI25" s="98">
        <v>0</v>
      </c>
      <c r="AJ25" s="98">
        <v>0.18077686769634305</v>
      </c>
      <c r="AK25" s="98">
        <v>0</v>
      </c>
      <c r="AL25" s="9"/>
      <c r="AM25" s="98">
        <v>0.20350328709242804</v>
      </c>
      <c r="AN25" s="98">
        <v>0</v>
      </c>
      <c r="AO25" s="81"/>
      <c r="AP25" s="98">
        <v>0.20350328709242804</v>
      </c>
      <c r="AQ25" s="98">
        <v>0.003646723646723647</v>
      </c>
      <c r="AR25" s="81"/>
      <c r="AS25" s="98">
        <v>0.20350328709242804</v>
      </c>
      <c r="AT25" s="98">
        <v>0</v>
      </c>
      <c r="AU25" s="81"/>
      <c r="AV25" s="98">
        <v>0.20350328709242804</v>
      </c>
      <c r="AW25" s="98">
        <v>0</v>
      </c>
      <c r="AX25" s="81"/>
      <c r="AY25" s="98">
        <v>0.20350328709242804</v>
      </c>
      <c r="AZ25" s="98">
        <v>0.002057142857142857</v>
      </c>
      <c r="BA25" s="81"/>
      <c r="BB25" s="98">
        <v>0.20350328709242804</v>
      </c>
      <c r="BC25" s="98">
        <v>0</v>
      </c>
      <c r="BF25">
        <v>17</v>
      </c>
      <c r="BG25">
        <v>16</v>
      </c>
      <c r="BH25" s="2">
        <v>934.728125</v>
      </c>
      <c r="BI25" s="2">
        <v>0.407404883401248</v>
      </c>
      <c r="BK25">
        <v>17</v>
      </c>
      <c r="BL25">
        <v>16</v>
      </c>
      <c r="BM25" s="2">
        <v>934.728125</v>
      </c>
      <c r="BN25" s="2">
        <v>0.360945209343816</v>
      </c>
      <c r="BP25">
        <v>17</v>
      </c>
      <c r="BQ25">
        <v>16</v>
      </c>
      <c r="BR25" s="2">
        <v>86.103125</v>
      </c>
      <c r="BS25" s="2">
        <v>0.116305023523685</v>
      </c>
      <c r="BV25">
        <v>17</v>
      </c>
      <c r="BW25">
        <v>16</v>
      </c>
      <c r="BX25" s="2">
        <v>13.3764364681342</v>
      </c>
      <c r="BY25" s="2">
        <v>0.056237556468219</v>
      </c>
    </row>
    <row r="26" spans="1:77" ht="12.75">
      <c r="A26" s="105" t="s">
        <v>22</v>
      </c>
      <c r="B26" s="123"/>
      <c r="C26" s="106"/>
      <c r="D26" s="103"/>
      <c r="E26" s="121"/>
      <c r="F26" s="124"/>
      <c r="G26" s="119"/>
      <c r="H26" s="81"/>
      <c r="I26" s="43"/>
      <c r="P26">
        <v>50</v>
      </c>
      <c r="Q26" s="8">
        <f>50*365</f>
        <v>18250</v>
      </c>
      <c r="R26" s="46">
        <f t="shared" si="1"/>
        <v>1.9205750267287658</v>
      </c>
      <c r="S26" s="46">
        <f t="shared" si="9"/>
        <v>0.9929139877202326</v>
      </c>
      <c r="T26" s="46">
        <f t="shared" si="3"/>
        <v>0.9140724940595701</v>
      </c>
      <c r="U26" s="46">
        <f t="shared" si="6"/>
        <v>0.2982823789139234</v>
      </c>
      <c r="V26" s="46">
        <f>$C$9/$G$7*LOG(Q26/$Q$24)*4</f>
        <v>0.007868787948571704</v>
      </c>
      <c r="W26" s="46">
        <f t="shared" si="4"/>
        <v>0.9219412820081418</v>
      </c>
      <c r="X26" s="46">
        <f t="shared" si="5"/>
        <v>1.1542721547804233</v>
      </c>
      <c r="Y26" s="46">
        <f t="shared" si="7"/>
        <v>1.1537770351148005</v>
      </c>
      <c r="Z26" s="46">
        <f t="shared" si="7"/>
        <v>1.1526258553629898</v>
      </c>
      <c r="AA26" s="46"/>
      <c r="AB26" s="8"/>
      <c r="AC26" s="33"/>
      <c r="AD26" s="22"/>
      <c r="AF26" s="8"/>
      <c r="AG26" s="8"/>
      <c r="AH26" s="98">
        <v>0.21169679630636487</v>
      </c>
      <c r="AI26" s="98">
        <v>0</v>
      </c>
      <c r="AJ26" s="98">
        <v>0.18682223847710328</v>
      </c>
      <c r="AK26" s="98">
        <v>0</v>
      </c>
      <c r="AL26" s="9"/>
      <c r="AM26" s="98">
        <v>0.21169679630636487</v>
      </c>
      <c r="AN26" s="98">
        <v>0</v>
      </c>
      <c r="AO26" s="81"/>
      <c r="AP26" s="98">
        <v>0.21169679630636487</v>
      </c>
      <c r="AQ26" s="98">
        <v>0.003646723646723647</v>
      </c>
      <c r="AR26" s="81"/>
      <c r="AS26" s="98">
        <v>0.21169679630636487</v>
      </c>
      <c r="AT26" s="98">
        <v>0</v>
      </c>
      <c r="AU26" s="81"/>
      <c r="AV26" s="98">
        <v>0.21169679630636487</v>
      </c>
      <c r="AW26" s="98">
        <v>0</v>
      </c>
      <c r="AX26" s="81"/>
      <c r="AY26" s="98">
        <v>0.21169679630636487</v>
      </c>
      <c r="AZ26" s="98">
        <v>0.002057142857142857</v>
      </c>
      <c r="BA26" s="81"/>
      <c r="BB26" s="98">
        <v>0.21169679630636487</v>
      </c>
      <c r="BC26" s="98">
        <v>0</v>
      </c>
      <c r="BF26">
        <v>18</v>
      </c>
      <c r="BG26">
        <v>17</v>
      </c>
      <c r="BH26" s="2">
        <v>1869.128125</v>
      </c>
      <c r="BI26" s="2">
        <v>0.538143684024269</v>
      </c>
      <c r="BK26">
        <v>18</v>
      </c>
      <c r="BL26">
        <v>17</v>
      </c>
      <c r="BM26" s="2">
        <v>1869.128125</v>
      </c>
      <c r="BN26" s="2">
        <v>0.458838372319898</v>
      </c>
      <c r="BP26">
        <v>18</v>
      </c>
      <c r="BQ26">
        <v>17</v>
      </c>
      <c r="BR26" s="2">
        <v>115.303125</v>
      </c>
      <c r="BS26" s="2">
        <v>0.129750474105975</v>
      </c>
      <c r="BV26">
        <v>18</v>
      </c>
      <c r="BW26">
        <v>17</v>
      </c>
      <c r="BX26" s="2">
        <v>26.5627322424983</v>
      </c>
      <c r="BY26" s="2">
        <v>0.0795431956470136</v>
      </c>
    </row>
    <row r="27" spans="1:77" ht="30" customHeight="1">
      <c r="A27" s="101"/>
      <c r="B27" s="110" t="s">
        <v>14</v>
      </c>
      <c r="C27" s="111" t="s">
        <v>65</v>
      </c>
      <c r="D27" s="111" t="s">
        <v>66</v>
      </c>
      <c r="E27" s="111" t="s">
        <v>67</v>
      </c>
      <c r="F27" s="112" t="s">
        <v>64</v>
      </c>
      <c r="G27" s="120" t="s">
        <v>63</v>
      </c>
      <c r="H27" s="82" t="s">
        <v>62</v>
      </c>
      <c r="I27" s="27" t="s">
        <v>61</v>
      </c>
      <c r="P27">
        <v>80</v>
      </c>
      <c r="Q27" s="8">
        <f>80*365</f>
        <v>29200</v>
      </c>
      <c r="R27" s="46">
        <f t="shared" si="1"/>
        <v>3.0729200427660253</v>
      </c>
      <c r="S27" s="46">
        <f t="shared" si="9"/>
        <v>0.99958761256873</v>
      </c>
      <c r="T27" s="46">
        <f t="shared" si="3"/>
        <v>0.9202162053831361</v>
      </c>
      <c r="U27" s="46">
        <f t="shared" si="6"/>
        <v>0.3125704892429938</v>
      </c>
      <c r="V27" s="46">
        <f>$C$9/$G$7*LOG(Q27/$Q$24)*4</f>
        <v>0.022156898277642067</v>
      </c>
      <c r="W27" s="46">
        <f t="shared" si="4"/>
        <v>0.9423731036607782</v>
      </c>
      <c r="X27" s="46">
        <f t="shared" si="5"/>
        <v>1.1747039764330596</v>
      </c>
      <c r="Y27" s="46">
        <f t="shared" si="7"/>
        <v>1.1746752291838891</v>
      </c>
      <c r="Z27" s="46">
        <f t="shared" si="7"/>
        <v>1.1746081661012322</v>
      </c>
      <c r="AA27" s="46"/>
      <c r="AB27" s="8"/>
      <c r="AC27" s="33"/>
      <c r="AD27" s="22"/>
      <c r="AF27" s="8"/>
      <c r="AG27" s="8"/>
      <c r="AH27" s="98">
        <v>0.22022019499873735</v>
      </c>
      <c r="AI27" s="98">
        <v>0</v>
      </c>
      <c r="AJ27" s="98">
        <v>0.19306977288832455</v>
      </c>
      <c r="AK27" s="98">
        <v>0</v>
      </c>
      <c r="AL27" s="9"/>
      <c r="AM27" s="98">
        <v>0.22022019499873735</v>
      </c>
      <c r="AN27" s="98">
        <v>0</v>
      </c>
      <c r="AO27" s="81"/>
      <c r="AP27" s="98">
        <v>0.22022019499873735</v>
      </c>
      <c r="AQ27" s="98">
        <v>0.003646723646723647</v>
      </c>
      <c r="AR27" s="81"/>
      <c r="AS27" s="98">
        <v>0.22022019499873735</v>
      </c>
      <c r="AT27" s="98">
        <v>0</v>
      </c>
      <c r="AU27" s="81"/>
      <c r="AV27" s="98">
        <v>0.22022019499873735</v>
      </c>
      <c r="AW27" s="98">
        <v>0</v>
      </c>
      <c r="AX27" s="81"/>
      <c r="AY27" s="98">
        <v>0.22022019499873735</v>
      </c>
      <c r="AZ27" s="98">
        <v>0.002057142857142857</v>
      </c>
      <c r="BA27" s="81"/>
      <c r="BB27" s="98">
        <v>0.22022019499873735</v>
      </c>
      <c r="BC27" s="98">
        <v>0</v>
      </c>
      <c r="BF27">
        <v>19</v>
      </c>
      <c r="BG27">
        <v>18</v>
      </c>
      <c r="BH27" s="2">
        <v>3737.928125</v>
      </c>
      <c r="BI27" s="2">
        <v>0.679933188024431</v>
      </c>
      <c r="BK27">
        <v>19</v>
      </c>
      <c r="BL27">
        <v>18</v>
      </c>
      <c r="BM27" s="2">
        <v>3737.928125</v>
      </c>
      <c r="BN27" s="2">
        <v>0.559658705180472</v>
      </c>
      <c r="BP27">
        <v>19</v>
      </c>
      <c r="BQ27">
        <v>18</v>
      </c>
      <c r="BR27" s="2">
        <v>173.703125</v>
      </c>
      <c r="BS27" s="2">
        <v>0.149810666718067</v>
      </c>
      <c r="BV27">
        <v>19</v>
      </c>
      <c r="BW27">
        <v>18</v>
      </c>
      <c r="BX27" s="2">
        <v>52.9353237912265</v>
      </c>
      <c r="BY27" s="2">
        <v>0.112847459054773</v>
      </c>
    </row>
    <row r="28" spans="1:77" ht="12">
      <c r="A28" s="101"/>
      <c r="B28" s="101">
        <v>0.5</v>
      </c>
      <c r="C28" s="125">
        <f>(15-9.81)*B28</f>
        <v>2.5949999999999998</v>
      </c>
      <c r="D28" s="125">
        <f>C28+20</f>
        <v>22.595</v>
      </c>
      <c r="E28" s="126">
        <f>C28*1</f>
        <v>2.5949999999999998</v>
      </c>
      <c r="F28" s="113">
        <f>$A$9/$G$7*LOG(E28/C28)</f>
        <v>0</v>
      </c>
      <c r="G28" s="114">
        <f>$B$9/$G$7*LOG(D28/E28)</f>
        <v>0.37656072996669804</v>
      </c>
      <c r="H28" s="79">
        <f>G33/20</f>
        <v>0.011117701935583518</v>
      </c>
      <c r="I28" s="41">
        <f>$E$7/9.81/H28</f>
        <v>0.0017428194154922594</v>
      </c>
      <c r="P28">
        <v>100</v>
      </c>
      <c r="Q28" s="8">
        <f>100*365</f>
        <v>36500</v>
      </c>
      <c r="R28" s="46">
        <f>$I$38*Q28/4^2</f>
        <v>3.8411500534575316</v>
      </c>
      <c r="S28" s="46">
        <f>1-10^((R28+0.085)/(-0.933))</f>
        <v>0.9999380690464443</v>
      </c>
      <c r="T28" s="46">
        <f t="shared" si="3"/>
        <v>0.9205388341612634</v>
      </c>
      <c r="U28" s="46">
        <f t="shared" si="6"/>
        <v>0.31935405320294574</v>
      </c>
      <c r="V28" s="46">
        <f>$C$9/$G$7*LOG(Q28/$Q$24)*4</f>
        <v>0.028940462237594045</v>
      </c>
      <c r="W28" s="46">
        <f t="shared" si="4"/>
        <v>0.9494792963988574</v>
      </c>
      <c r="X28" s="46">
        <f t="shared" si="5"/>
        <v>1.181810169171139</v>
      </c>
      <c r="Y28" s="46">
        <f t="shared" si="7"/>
        <v>1.1818058525358235</v>
      </c>
      <c r="Z28" s="46">
        <f t="shared" si="7"/>
        <v>1.1817957806986477</v>
      </c>
      <c r="AA28" s="46"/>
      <c r="AB28" s="8"/>
      <c r="AC28" s="13"/>
      <c r="AD28" s="8"/>
      <c r="AH28" s="98">
        <v>0.22908676527677713</v>
      </c>
      <c r="AI28" s="98">
        <v>0</v>
      </c>
      <c r="AJ28" s="98">
        <v>0.19952623149688747</v>
      </c>
      <c r="AK28" s="98">
        <v>0</v>
      </c>
      <c r="AL28" s="81"/>
      <c r="AM28" s="98">
        <v>0.22908676527677713</v>
      </c>
      <c r="AN28" s="98">
        <v>0</v>
      </c>
      <c r="AO28" s="81"/>
      <c r="AP28" s="98">
        <v>0.22908676527677713</v>
      </c>
      <c r="AQ28" s="98">
        <v>0.003646723646723647</v>
      </c>
      <c r="AR28" s="81"/>
      <c r="AS28" s="98">
        <v>0.22908676527677713</v>
      </c>
      <c r="AT28" s="98">
        <v>0</v>
      </c>
      <c r="AU28" s="81"/>
      <c r="AV28" s="98">
        <v>0.22908676527677713</v>
      </c>
      <c r="AW28" s="98">
        <v>0</v>
      </c>
      <c r="AX28" s="81"/>
      <c r="AY28" s="98">
        <v>0.22908676527677713</v>
      </c>
      <c r="AZ28" s="98">
        <v>0.002057142857142857</v>
      </c>
      <c r="BA28" s="81"/>
      <c r="BB28" s="98">
        <v>0.22908676527677713</v>
      </c>
      <c r="BC28" s="98">
        <v>0</v>
      </c>
      <c r="BF28">
        <v>20</v>
      </c>
      <c r="BG28">
        <v>19</v>
      </c>
      <c r="BH28" s="2">
        <v>7475.528125</v>
      </c>
      <c r="BI28" s="2">
        <v>0.790416625405199</v>
      </c>
      <c r="BK28">
        <v>20</v>
      </c>
      <c r="BL28">
        <v>19</v>
      </c>
      <c r="BM28" s="2">
        <v>7475.528125</v>
      </c>
      <c r="BN28" s="2">
        <v>0.639394809594678</v>
      </c>
      <c r="BP28">
        <v>20</v>
      </c>
      <c r="BQ28">
        <v>19</v>
      </c>
      <c r="BR28" s="2">
        <v>232.103125</v>
      </c>
      <c r="BS28" s="2">
        <v>0.164918560346314</v>
      </c>
      <c r="BV28">
        <v>20</v>
      </c>
      <c r="BW28">
        <v>19</v>
      </c>
      <c r="BX28" s="2">
        <v>105.680506888683</v>
      </c>
      <c r="BY28" s="2">
        <v>0.15985032893591</v>
      </c>
    </row>
    <row r="29" spans="1:77" ht="12">
      <c r="A29" s="101"/>
      <c r="B29" s="101">
        <f>B28+1</f>
        <v>1.5</v>
      </c>
      <c r="C29" s="125">
        <f>(15-9.81)*B29</f>
        <v>7.784999999999999</v>
      </c>
      <c r="D29" s="125">
        <f>C29+20</f>
        <v>27.785</v>
      </c>
      <c r="E29" s="126">
        <f>C29*1</f>
        <v>7.784999999999999</v>
      </c>
      <c r="F29" s="113">
        <f>$A$9/$G$7*LOG(E29/C29)</f>
        <v>0</v>
      </c>
      <c r="G29" s="114">
        <f>$B$9/$G$7*LOG(D29/E29)</f>
        <v>0.2213797652515906</v>
      </c>
      <c r="H29" s="80"/>
      <c r="I29" s="42"/>
      <c r="AB29" s="13"/>
      <c r="AC29" s="13"/>
      <c r="AD29" s="8"/>
      <c r="AH29" s="98">
        <v>0.2383103240158246</v>
      </c>
      <c r="AI29" s="98">
        <v>0</v>
      </c>
      <c r="AJ29" s="98">
        <v>0.2061986009502215</v>
      </c>
      <c r="AK29" s="98">
        <v>0</v>
      </c>
      <c r="AL29" s="81"/>
      <c r="AM29" s="98">
        <v>0.2383103240158246</v>
      </c>
      <c r="AN29" s="98">
        <v>0</v>
      </c>
      <c r="AO29" s="81"/>
      <c r="AP29" s="98">
        <v>0.2383103240158246</v>
      </c>
      <c r="AQ29" s="98">
        <v>0.003646723646723647</v>
      </c>
      <c r="AR29" s="81"/>
      <c r="AS29" s="98">
        <v>0.2383103240158246</v>
      </c>
      <c r="AT29" s="98">
        <v>0</v>
      </c>
      <c r="AU29" s="81"/>
      <c r="AV29" s="98">
        <v>0.2383103240158246</v>
      </c>
      <c r="AW29" s="98">
        <v>0</v>
      </c>
      <c r="AX29" s="81"/>
      <c r="AY29" s="98">
        <v>0.2383103240158246</v>
      </c>
      <c r="AZ29" s="98">
        <v>0.002057142857142857</v>
      </c>
      <c r="BA29" s="81"/>
      <c r="BB29" s="98">
        <v>0.2383103240158246</v>
      </c>
      <c r="BC29" s="98">
        <v>0</v>
      </c>
      <c r="BF29">
        <v>21</v>
      </c>
      <c r="BG29">
        <v>20</v>
      </c>
      <c r="BH29" s="2">
        <v>18250.1</v>
      </c>
      <c r="BI29" s="2">
        <v>0.86393166042518</v>
      </c>
      <c r="BK29">
        <v>21</v>
      </c>
      <c r="BL29">
        <v>20</v>
      </c>
      <c r="BM29" s="2">
        <v>18250.1</v>
      </c>
      <c r="BN29" s="2">
        <v>0.699702043573119</v>
      </c>
      <c r="BP29">
        <v>21</v>
      </c>
      <c r="BQ29">
        <v>20</v>
      </c>
      <c r="BR29" s="2">
        <v>348.903125</v>
      </c>
      <c r="BS29" s="2">
        <v>0.186405523540106</v>
      </c>
      <c r="BV29">
        <v>21</v>
      </c>
      <c r="BW29">
        <v>20</v>
      </c>
      <c r="BX29" s="2">
        <v>211.170873083596</v>
      </c>
      <c r="BY29" s="2">
        <v>0.225411315544755</v>
      </c>
    </row>
    <row r="30" spans="1:77" ht="12">
      <c r="A30" s="101"/>
      <c r="B30" s="101">
        <f>B29+1</f>
        <v>2.5</v>
      </c>
      <c r="C30" s="125">
        <f>(15-9.81)*B30</f>
        <v>12.974999999999998</v>
      </c>
      <c r="D30" s="125">
        <f>C30+20</f>
        <v>32.974999999999994</v>
      </c>
      <c r="E30" s="126">
        <f>C30*1</f>
        <v>12.974999999999998</v>
      </c>
      <c r="F30" s="113">
        <f>$A$9/$G$7*LOG(E30/C30)</f>
        <v>0</v>
      </c>
      <c r="G30" s="114">
        <f>$B$9/$G$7*LOG(D30/E30)</f>
        <v>0.1622941969019481</v>
      </c>
      <c r="H30" s="80"/>
      <c r="I30" s="42"/>
      <c r="AB30" s="13"/>
      <c r="AC30" s="13"/>
      <c r="AD30" s="8"/>
      <c r="AH30" s="98">
        <v>0.24790524439032</v>
      </c>
      <c r="AI30" s="98">
        <v>0</v>
      </c>
      <c r="AJ30" s="98">
        <v>0.21309410153667913</v>
      </c>
      <c r="AK30" s="98">
        <v>0</v>
      </c>
      <c r="AL30" s="81"/>
      <c r="AM30" s="98">
        <v>0.24790524439032</v>
      </c>
      <c r="AN30" s="98">
        <v>0</v>
      </c>
      <c r="AO30" s="81"/>
      <c r="AP30" s="98">
        <v>0.24790524439032</v>
      </c>
      <c r="AQ30" s="98">
        <v>0.003646723646723647</v>
      </c>
      <c r="AR30" s="81"/>
      <c r="AS30" s="98">
        <v>0.24790524439032</v>
      </c>
      <c r="AT30" s="98">
        <v>0</v>
      </c>
      <c r="AU30" s="81"/>
      <c r="AV30" s="98">
        <v>0.24790524439032</v>
      </c>
      <c r="AW30" s="98">
        <v>0</v>
      </c>
      <c r="AX30" s="81"/>
      <c r="AY30" s="98">
        <v>0.24790524439032</v>
      </c>
      <c r="AZ30" s="98">
        <v>0.002057142857142857</v>
      </c>
      <c r="BA30" s="81"/>
      <c r="BB30" s="98">
        <v>0.24790524439032</v>
      </c>
      <c r="BC30" s="98">
        <v>0</v>
      </c>
      <c r="BH30" s="2"/>
      <c r="BI30" s="2"/>
      <c r="BM30" s="2"/>
      <c r="BN30" s="2"/>
      <c r="BP30">
        <v>22</v>
      </c>
      <c r="BQ30">
        <v>21</v>
      </c>
      <c r="BR30" s="2">
        <v>582.503125</v>
      </c>
      <c r="BS30" s="2">
        <v>0.212726092054352</v>
      </c>
      <c r="BV30">
        <v>22</v>
      </c>
      <c r="BW30">
        <v>21</v>
      </c>
      <c r="BX30" s="2">
        <v>422.151605473421</v>
      </c>
      <c r="BY30" s="2">
        <v>0.316049600708494</v>
      </c>
    </row>
    <row r="31" spans="1:77" ht="12">
      <c r="A31" s="101"/>
      <c r="B31" s="101">
        <f>B30+1</f>
        <v>3.5</v>
      </c>
      <c r="C31" s="125">
        <f>(15-9.81)*B31</f>
        <v>18.165</v>
      </c>
      <c r="D31" s="125">
        <f>C31+20</f>
        <v>38.165</v>
      </c>
      <c r="E31" s="126">
        <f>C31*1</f>
        <v>18.165</v>
      </c>
      <c r="F31" s="113">
        <f>$A$9/$G$7*LOG(E31/C31)</f>
        <v>0</v>
      </c>
      <c r="G31" s="114">
        <f>$B$9/$G$7*LOG(D31/E31)</f>
        <v>0.12918146272644468</v>
      </c>
      <c r="H31" s="80"/>
      <c r="I31" s="42"/>
      <c r="AB31" s="13"/>
      <c r="AC31" s="13"/>
      <c r="AD31" s="8"/>
      <c r="AH31" s="98">
        <v>0.2578864782716813</v>
      </c>
      <c r="AI31" s="98">
        <v>0</v>
      </c>
      <c r="AJ31" s="98">
        <v>0.2202201949987369</v>
      </c>
      <c r="AK31" s="98">
        <v>0</v>
      </c>
      <c r="AL31" s="81"/>
      <c r="AM31" s="98">
        <v>0.2578864782716813</v>
      </c>
      <c r="AN31" s="98">
        <v>0</v>
      </c>
      <c r="AO31" s="81"/>
      <c r="AP31" s="98">
        <v>0.2578864782716813</v>
      </c>
      <c r="AQ31" s="98">
        <v>0.003646723646723647</v>
      </c>
      <c r="AR31" s="81"/>
      <c r="AS31" s="98">
        <v>0.2578864782716813</v>
      </c>
      <c r="AT31" s="98">
        <v>0</v>
      </c>
      <c r="AU31" s="81"/>
      <c r="AV31" s="98">
        <v>0.2578864782716813</v>
      </c>
      <c r="AW31" s="98">
        <v>0</v>
      </c>
      <c r="AX31" s="81"/>
      <c r="AY31" s="98">
        <v>0.2578864782716813</v>
      </c>
      <c r="AZ31" s="98">
        <v>0.002057142857142857</v>
      </c>
      <c r="BA31" s="81"/>
      <c r="BB31" s="98">
        <v>0.2578864782716813</v>
      </c>
      <c r="BC31" s="98">
        <v>0</v>
      </c>
      <c r="BH31" s="2"/>
      <c r="BI31" s="2"/>
      <c r="BM31" s="2"/>
      <c r="BN31" s="2"/>
      <c r="BP31">
        <v>23</v>
      </c>
      <c r="BQ31">
        <v>22</v>
      </c>
      <c r="BR31" s="2">
        <v>1049.703125</v>
      </c>
      <c r="BS31" s="2">
        <v>0.24020959220014</v>
      </c>
      <c r="BV31">
        <v>23</v>
      </c>
      <c r="BW31">
        <v>22</v>
      </c>
      <c r="BX31" s="2">
        <v>844.113070253073</v>
      </c>
      <c r="BY31" s="2">
        <v>0.440406142119345</v>
      </c>
    </row>
    <row r="32" spans="1:77" ht="12">
      <c r="A32" s="103"/>
      <c r="B32" s="103"/>
      <c r="C32" s="127"/>
      <c r="D32" s="127"/>
      <c r="E32" s="127"/>
      <c r="F32" s="101">
        <f>SUM(F28:F29)/2</f>
        <v>0</v>
      </c>
      <c r="G32" s="115">
        <f>SUM(G28:G31)/4</f>
        <v>0.22235403871167037</v>
      </c>
      <c r="H32" s="80"/>
      <c r="I32" s="43"/>
      <c r="AB32" s="13"/>
      <c r="AC32" s="13"/>
      <c r="AD32" s="8"/>
      <c r="AH32" s="98">
        <v>0.2682695795279723</v>
      </c>
      <c r="AI32" s="98">
        <v>0</v>
      </c>
      <c r="AJ32" s="98">
        <v>0.22758459260747818</v>
      </c>
      <c r="AK32" s="98">
        <v>0</v>
      </c>
      <c r="AL32" s="81"/>
      <c r="AM32" s="98">
        <v>0.2682695795279723</v>
      </c>
      <c r="AN32" s="98">
        <v>0</v>
      </c>
      <c r="AO32" s="81"/>
      <c r="AP32" s="98">
        <v>0.2682695795279723</v>
      </c>
      <c r="AQ32" s="98">
        <v>0.003646723646723647</v>
      </c>
      <c r="AR32" s="81"/>
      <c r="AS32" s="98">
        <v>0.2682695795279723</v>
      </c>
      <c r="AT32" s="98">
        <v>0</v>
      </c>
      <c r="AU32" s="81"/>
      <c r="AV32" s="98">
        <v>0.2682695795279723</v>
      </c>
      <c r="AW32" s="98">
        <v>0</v>
      </c>
      <c r="AX32" s="81"/>
      <c r="AY32" s="98">
        <v>0.2682695795279723</v>
      </c>
      <c r="AZ32" s="98">
        <v>0.002057142857142857</v>
      </c>
      <c r="BA32" s="81"/>
      <c r="BB32" s="98">
        <v>0.2682695795279723</v>
      </c>
      <c r="BC32" s="98">
        <v>0</v>
      </c>
      <c r="BH32" s="2"/>
      <c r="BI32" s="2"/>
      <c r="BM32" s="2"/>
      <c r="BN32" s="2"/>
      <c r="BP32">
        <v>24</v>
      </c>
      <c r="BQ32">
        <v>23</v>
      </c>
      <c r="BR32" s="2">
        <v>1984.103125</v>
      </c>
      <c r="BS32" s="2">
        <v>0.265080455136168</v>
      </c>
      <c r="BV32">
        <v>24</v>
      </c>
      <c r="BW32">
        <v>23</v>
      </c>
      <c r="BX32" s="2">
        <v>1688.03599981238</v>
      </c>
      <c r="BY32" s="2">
        <v>0.60712580973032</v>
      </c>
    </row>
    <row r="33" spans="1:77" ht="12.75">
      <c r="A33" s="103"/>
      <c r="B33" s="103"/>
      <c r="C33" s="127"/>
      <c r="D33" s="127"/>
      <c r="E33" s="127"/>
      <c r="F33" s="101" t="s">
        <v>17</v>
      </c>
      <c r="G33" s="116">
        <f>G32+F32</f>
        <v>0.22235403871167037</v>
      </c>
      <c r="H33" s="80"/>
      <c r="I33" s="43"/>
      <c r="AB33" s="13"/>
      <c r="AC33" s="13"/>
      <c r="AD33" s="8"/>
      <c r="AH33" s="98">
        <v>0.2790707282616685</v>
      </c>
      <c r="AI33" s="98">
        <v>0</v>
      </c>
      <c r="AJ33" s="98">
        <v>0.23519526350709516</v>
      </c>
      <c r="AK33" s="98">
        <v>0</v>
      </c>
      <c r="AL33" s="81"/>
      <c r="AM33" s="98">
        <v>0.2790707282616685</v>
      </c>
      <c r="AN33" s="98">
        <v>0</v>
      </c>
      <c r="AO33" s="81"/>
      <c r="AP33" s="98">
        <v>0.2790707282616685</v>
      </c>
      <c r="AQ33" s="98">
        <v>0.003646723646723647</v>
      </c>
      <c r="AR33" s="81"/>
      <c r="AS33" s="98">
        <v>0.2790707282616685</v>
      </c>
      <c r="AT33" s="98">
        <v>0</v>
      </c>
      <c r="AU33" s="81"/>
      <c r="AV33" s="98">
        <v>0.2790707282616685</v>
      </c>
      <c r="AW33" s="98">
        <v>0</v>
      </c>
      <c r="AX33" s="81"/>
      <c r="AY33" s="98">
        <v>0.2790707282616685</v>
      </c>
      <c r="AZ33" s="98">
        <v>0.002057142857142857</v>
      </c>
      <c r="BA33" s="81"/>
      <c r="BB33" s="98">
        <v>0.2790707282616685</v>
      </c>
      <c r="BC33" s="98">
        <v>0</v>
      </c>
      <c r="BH33" s="2"/>
      <c r="BI33" s="2"/>
      <c r="BM33" s="2"/>
      <c r="BN33" s="2"/>
      <c r="BP33">
        <v>25</v>
      </c>
      <c r="BQ33">
        <v>24</v>
      </c>
      <c r="BR33" s="2">
        <v>3852.903125</v>
      </c>
      <c r="BS33" s="2">
        <v>0.28597652313174</v>
      </c>
      <c r="BV33">
        <v>25</v>
      </c>
      <c r="BW33">
        <v>24</v>
      </c>
      <c r="BX33" s="2">
        <v>3375.88185893098</v>
      </c>
      <c r="BY33" s="2">
        <v>0.805312468434404</v>
      </c>
    </row>
    <row r="34" spans="1:77" ht="12">
      <c r="A34" s="103"/>
      <c r="B34" s="117"/>
      <c r="C34" s="128"/>
      <c r="D34" s="128"/>
      <c r="E34" s="128"/>
      <c r="F34" s="101" t="s">
        <v>15</v>
      </c>
      <c r="G34" s="115">
        <f>G33*4</f>
        <v>0.8894161548466815</v>
      </c>
      <c r="H34" s="80" t="s">
        <v>16</v>
      </c>
      <c r="I34" s="43"/>
      <c r="AB34" s="13"/>
      <c r="AC34" s="13"/>
      <c r="AD34" s="8"/>
      <c r="AH34" s="98">
        <v>0.2903067560232914</v>
      </c>
      <c r="AI34" s="98">
        <v>0</v>
      </c>
      <c r="AJ34" s="98">
        <v>0.24306044333844015</v>
      </c>
      <c r="AK34" s="98">
        <v>0</v>
      </c>
      <c r="AL34" s="81"/>
      <c r="AM34" s="98">
        <v>0.2903067560232914</v>
      </c>
      <c r="AN34" s="98">
        <v>0</v>
      </c>
      <c r="AO34" s="81"/>
      <c r="AP34" s="98">
        <v>0.2903067560232914</v>
      </c>
      <c r="AQ34" s="98">
        <v>0.003646723646723647</v>
      </c>
      <c r="AR34" s="81"/>
      <c r="AS34" s="98">
        <v>0.2903067560232914</v>
      </c>
      <c r="AT34" s="98">
        <v>0</v>
      </c>
      <c r="AU34" s="81"/>
      <c r="AV34" s="98">
        <v>0.2903067560232914</v>
      </c>
      <c r="AW34" s="98">
        <v>0</v>
      </c>
      <c r="AX34" s="81"/>
      <c r="AY34" s="98">
        <v>0.2903067560232914</v>
      </c>
      <c r="AZ34" s="98">
        <v>0.002057142857142857</v>
      </c>
      <c r="BA34" s="81"/>
      <c r="BB34" s="98">
        <v>0.2903067560232914</v>
      </c>
      <c r="BC34" s="98">
        <v>0</v>
      </c>
      <c r="BH34" s="2"/>
      <c r="BI34" s="2"/>
      <c r="BM34" s="2"/>
      <c r="BN34" s="2"/>
      <c r="BP34">
        <v>26</v>
      </c>
      <c r="BQ34">
        <v>25</v>
      </c>
      <c r="BR34" s="2">
        <v>7590.503125</v>
      </c>
      <c r="BS34" s="2">
        <v>0.304326938658614</v>
      </c>
      <c r="BV34">
        <v>26</v>
      </c>
      <c r="BW34">
        <v>25</v>
      </c>
      <c r="BX34" s="2">
        <v>6751.57357716819</v>
      </c>
      <c r="BY34" s="2">
        <v>0.972612722246866</v>
      </c>
    </row>
    <row r="35" spans="1:77" ht="12">
      <c r="A35" s="103"/>
      <c r="B35" s="117"/>
      <c r="C35" s="128"/>
      <c r="D35" s="128"/>
      <c r="E35" s="128"/>
      <c r="F35" s="117"/>
      <c r="G35" s="122"/>
      <c r="H35" s="81"/>
      <c r="I35" s="43"/>
      <c r="AB35" s="13"/>
      <c r="AC35" s="13"/>
      <c r="AD35" s="8"/>
      <c r="AH35" s="98">
        <v>0.3019951720402013</v>
      </c>
      <c r="AI35" s="98">
        <v>0</v>
      </c>
      <c r="AJ35" s="98">
        <v>0.2511886431509572</v>
      </c>
      <c r="AK35" s="98">
        <v>0</v>
      </c>
      <c r="AL35" s="81"/>
      <c r="AM35" s="98">
        <v>0.3019951720402013</v>
      </c>
      <c r="AN35" s="98">
        <v>0</v>
      </c>
      <c r="AO35" s="81"/>
      <c r="AP35" s="98">
        <v>0.3019951720402013</v>
      </c>
      <c r="AQ35" s="98">
        <v>0.003646723646723647</v>
      </c>
      <c r="AR35" s="81"/>
      <c r="AS35" s="98">
        <v>0.3019951720402013</v>
      </c>
      <c r="AT35" s="98">
        <v>0</v>
      </c>
      <c r="AU35" s="81"/>
      <c r="AV35" s="98">
        <v>0.3019951720402013</v>
      </c>
      <c r="AW35" s="98">
        <v>0</v>
      </c>
      <c r="AX35" s="81"/>
      <c r="AY35" s="98">
        <v>0.3019951720402013</v>
      </c>
      <c r="AZ35" s="98">
        <v>0.002057142857142857</v>
      </c>
      <c r="BA35" s="81"/>
      <c r="BB35" s="98">
        <v>0.3019951720402013</v>
      </c>
      <c r="BC35" s="98">
        <v>0</v>
      </c>
      <c r="BH35" s="2"/>
      <c r="BI35" s="2"/>
      <c r="BM35" s="2"/>
      <c r="BN35" s="2"/>
      <c r="BP35">
        <v>27</v>
      </c>
      <c r="BQ35">
        <v>26</v>
      </c>
      <c r="BR35" s="2">
        <v>18250.1</v>
      </c>
      <c r="BS35" s="2">
        <v>0.324914050510531</v>
      </c>
      <c r="BV35">
        <v>27</v>
      </c>
      <c r="BW35">
        <v>26</v>
      </c>
      <c r="BX35" s="2">
        <v>13502.9570136426</v>
      </c>
      <c r="BY35" s="2">
        <v>1.06308704040136</v>
      </c>
    </row>
    <row r="36" spans="1:77" ht="12.75">
      <c r="A36" s="105" t="s">
        <v>23</v>
      </c>
      <c r="B36" s="123"/>
      <c r="C36" s="129"/>
      <c r="D36" s="127"/>
      <c r="E36" s="130"/>
      <c r="F36" s="124"/>
      <c r="G36" s="119"/>
      <c r="H36" s="81"/>
      <c r="I36" s="43"/>
      <c r="AB36" s="13"/>
      <c r="AC36" s="13"/>
      <c r="AD36" s="8"/>
      <c r="AH36" s="98">
        <v>0.31415419050142146</v>
      </c>
      <c r="AI36" s="98">
        <v>0</v>
      </c>
      <c r="AJ36" s="98">
        <v>0.2595886586126385</v>
      </c>
      <c r="AK36" s="98">
        <v>0</v>
      </c>
      <c r="AL36" s="81"/>
      <c r="AM36" s="98">
        <v>0.31415419050142146</v>
      </c>
      <c r="AN36" s="98">
        <v>0</v>
      </c>
      <c r="AO36" s="81"/>
      <c r="AP36" s="98">
        <v>0.31415419050142146</v>
      </c>
      <c r="AQ36" s="98">
        <v>0.003646723646723647</v>
      </c>
      <c r="AR36" s="81"/>
      <c r="AS36" s="98">
        <v>0.31415419050142146</v>
      </c>
      <c r="AT36" s="98">
        <v>0</v>
      </c>
      <c r="AU36" s="81"/>
      <c r="AV36" s="98">
        <v>0.31415419050142146</v>
      </c>
      <c r="AW36" s="98">
        <v>0</v>
      </c>
      <c r="AX36" s="81"/>
      <c r="AY36" s="98">
        <v>0.31415419050142146</v>
      </c>
      <c r="AZ36" s="98">
        <v>0.002057142857142857</v>
      </c>
      <c r="BA36" s="81"/>
      <c r="BB36" s="98">
        <v>0.31415419050142146</v>
      </c>
      <c r="BC36" s="98">
        <v>0</v>
      </c>
      <c r="BH36" s="2"/>
      <c r="BI36" s="2"/>
      <c r="BM36" s="2"/>
      <c r="BN36" s="2"/>
      <c r="BR36" s="2"/>
      <c r="BS36" s="2"/>
      <c r="BV36">
        <v>28</v>
      </c>
      <c r="BW36">
        <v>27</v>
      </c>
      <c r="BX36" s="2">
        <v>18250.1</v>
      </c>
      <c r="BY36" s="2">
        <v>1.08559957099065</v>
      </c>
    </row>
    <row r="37" spans="1:71" ht="28.5" customHeight="1">
      <c r="A37" s="101"/>
      <c r="B37" s="110" t="s">
        <v>14</v>
      </c>
      <c r="C37" s="131" t="s">
        <v>65</v>
      </c>
      <c r="D37" s="131" t="s">
        <v>66</v>
      </c>
      <c r="E37" s="111" t="s">
        <v>67</v>
      </c>
      <c r="F37" s="112" t="s">
        <v>64</v>
      </c>
      <c r="G37" s="120" t="s">
        <v>63</v>
      </c>
      <c r="H37" s="82" t="s">
        <v>62</v>
      </c>
      <c r="I37" s="27" t="s">
        <v>61</v>
      </c>
      <c r="M37" s="8"/>
      <c r="N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13"/>
      <c r="AC37" s="13"/>
      <c r="AD37" s="8"/>
      <c r="AH37" s="98">
        <v>0.3268027589410122</v>
      </c>
      <c r="AI37" s="98">
        <v>0</v>
      </c>
      <c r="AJ37" s="98">
        <v>0.26826957952797165</v>
      </c>
      <c r="AK37" s="98">
        <v>0</v>
      </c>
      <c r="AL37" s="81"/>
      <c r="AM37" s="98">
        <v>0.3268027589410122</v>
      </c>
      <c r="AN37" s="98">
        <v>0</v>
      </c>
      <c r="AO37" s="81"/>
      <c r="AP37" s="98">
        <v>0.3268027589410122</v>
      </c>
      <c r="AQ37" s="98">
        <v>0.003646723646723647</v>
      </c>
      <c r="AR37" s="81"/>
      <c r="AS37" s="98">
        <v>0.3268027589410122</v>
      </c>
      <c r="AT37" s="98">
        <v>0</v>
      </c>
      <c r="AU37" s="81"/>
      <c r="AV37" s="98">
        <v>0.3268027589410122</v>
      </c>
      <c r="AW37" s="98">
        <v>0</v>
      </c>
      <c r="AX37" s="81"/>
      <c r="AY37" s="98">
        <v>0.3268027589410122</v>
      </c>
      <c r="AZ37" s="98">
        <v>0.002057142857142857</v>
      </c>
      <c r="BA37" s="81"/>
      <c r="BB37" s="98">
        <v>0.3268027589410122</v>
      </c>
      <c r="BC37" s="98">
        <v>0</v>
      </c>
      <c r="BH37" s="2"/>
      <c r="BI37" s="2"/>
      <c r="BM37" s="2"/>
      <c r="BN37" s="2"/>
      <c r="BR37" s="2"/>
      <c r="BS37" s="2"/>
    </row>
    <row r="38" spans="1:71" ht="12">
      <c r="A38" s="101"/>
      <c r="B38" s="101">
        <v>0.25</v>
      </c>
      <c r="C38" s="125">
        <f aca="true" t="shared" si="10" ref="C38:C45">(15-9.81)*B38</f>
        <v>1.2974999999999999</v>
      </c>
      <c r="D38" s="125">
        <f aca="true" t="shared" si="11" ref="D38:D45">C38+20</f>
        <v>21.2975</v>
      </c>
      <c r="E38" s="126">
        <f aca="true" t="shared" si="12" ref="E38:E45">C38*1</f>
        <v>1.2974999999999999</v>
      </c>
      <c r="F38" s="113">
        <f aca="true" t="shared" si="13" ref="F38:F45">$A$9/$G$7*LOG(E38/C38)</f>
        <v>0</v>
      </c>
      <c r="G38" s="114">
        <f>$B$9/$G$7*LOG(D38/E38)</f>
        <v>0.48687816244458965</v>
      </c>
      <c r="H38" s="79">
        <f>G47/20</f>
        <v>0.011507448094249261</v>
      </c>
      <c r="I38" s="44">
        <f>$E$7/9.81/H38</f>
        <v>0.0016837918042553563</v>
      </c>
      <c r="J38" s="4" t="s">
        <v>28</v>
      </c>
      <c r="M38" s="8"/>
      <c r="N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13"/>
      <c r="AC38" s="13"/>
      <c r="AD38" s="8"/>
      <c r="AH38" s="98">
        <v>0.3399605877642243</v>
      </c>
      <c r="AI38" s="98">
        <v>0.006857142857142857</v>
      </c>
      <c r="AJ38" s="98">
        <v>0.2772407996741764</v>
      </c>
      <c r="AK38" s="98">
        <v>0</v>
      </c>
      <c r="AL38" s="81"/>
      <c r="AM38" s="98">
        <v>0.3399605877642243</v>
      </c>
      <c r="AN38" s="98">
        <v>0</v>
      </c>
      <c r="AO38" s="81"/>
      <c r="AP38" s="98">
        <v>0.3399605877642243</v>
      </c>
      <c r="AQ38" s="98">
        <v>0.003646723646723647</v>
      </c>
      <c r="AR38" s="81"/>
      <c r="AS38" s="98">
        <v>0.3399605877642243</v>
      </c>
      <c r="AT38" s="98">
        <v>0.004171428571428572</v>
      </c>
      <c r="AU38" s="81"/>
      <c r="AV38" s="98">
        <v>0.3399605877642243</v>
      </c>
      <c r="AW38" s="98">
        <v>0</v>
      </c>
      <c r="AX38" s="81"/>
      <c r="AY38" s="98">
        <v>0.3399605877642243</v>
      </c>
      <c r="AZ38" s="98">
        <v>0.002057142857142857</v>
      </c>
      <c r="BA38" s="81"/>
      <c r="BB38" s="98">
        <v>0.3399605877642243</v>
      </c>
      <c r="BC38" s="98">
        <v>0.0013675213675213675</v>
      </c>
      <c r="BH38" s="2"/>
      <c r="BI38" s="2"/>
      <c r="BM38" s="2"/>
      <c r="BN38" s="2"/>
      <c r="BR38" s="2"/>
      <c r="BS38" s="2"/>
    </row>
    <row r="39" spans="1:71" ht="12">
      <c r="A39" s="101"/>
      <c r="B39" s="101">
        <f aca="true" t="shared" si="14" ref="B39:B44">B38+0.5</f>
        <v>0.75</v>
      </c>
      <c r="C39" s="125">
        <f t="shared" si="10"/>
        <v>3.8924999999999996</v>
      </c>
      <c r="D39" s="125">
        <f t="shared" si="11"/>
        <v>23.8925</v>
      </c>
      <c r="E39" s="126">
        <f t="shared" si="12"/>
        <v>3.8924999999999996</v>
      </c>
      <c r="F39" s="113">
        <f t="shared" si="13"/>
        <v>0</v>
      </c>
      <c r="G39" s="114">
        <f aca="true" t="shared" si="15" ref="G39:G45">$B$9/$G$7*LOG(D39/E39)</f>
        <v>0.3157252580731995</v>
      </c>
      <c r="H39" s="6"/>
      <c r="I39" s="6"/>
      <c r="M39" s="8"/>
      <c r="N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13"/>
      <c r="AC39" s="13"/>
      <c r="AD39" s="8"/>
      <c r="AH39" s="98">
        <v>0.3536481809624434</v>
      </c>
      <c r="AI39" s="98">
        <v>0.006857142857142857</v>
      </c>
      <c r="AJ39" s="98">
        <v>0.286512026966377</v>
      </c>
      <c r="AK39" s="98">
        <v>0</v>
      </c>
      <c r="AL39" s="81"/>
      <c r="AM39" s="98">
        <v>0.3536481809624434</v>
      </c>
      <c r="AN39" s="98">
        <v>0</v>
      </c>
      <c r="AO39" s="81"/>
      <c r="AP39" s="98">
        <v>0.3536481809624434</v>
      </c>
      <c r="AQ39" s="98">
        <v>0.003646723646723647</v>
      </c>
      <c r="AR39" s="81"/>
      <c r="AS39" s="98">
        <v>0.3536481809624434</v>
      </c>
      <c r="AT39" s="98">
        <v>0.004171428571428572</v>
      </c>
      <c r="AU39" s="81"/>
      <c r="AV39" s="98">
        <v>0.3536481809624434</v>
      </c>
      <c r="AW39" s="98">
        <v>0</v>
      </c>
      <c r="AX39" s="81"/>
      <c r="AY39" s="98">
        <v>0.3536481809624434</v>
      </c>
      <c r="AZ39" s="98">
        <v>0.002057142857142857</v>
      </c>
      <c r="BA39" s="81"/>
      <c r="BB39" s="98">
        <v>0.3536481809624434</v>
      </c>
      <c r="BC39" s="98">
        <v>0.0013675213675213675</v>
      </c>
      <c r="BH39" s="2"/>
      <c r="BI39" s="2"/>
      <c r="BM39" s="2"/>
      <c r="BN39" s="2"/>
      <c r="BR39" s="2"/>
      <c r="BS39" s="2"/>
    </row>
    <row r="40" spans="1:71" ht="12">
      <c r="A40" s="101"/>
      <c r="B40" s="101">
        <f t="shared" si="14"/>
        <v>1.25</v>
      </c>
      <c r="C40" s="125">
        <f t="shared" si="10"/>
        <v>6.487499999999999</v>
      </c>
      <c r="D40" s="125">
        <f t="shared" si="11"/>
        <v>26.487499999999997</v>
      </c>
      <c r="E40" s="126">
        <f t="shared" si="12"/>
        <v>6.487499999999999</v>
      </c>
      <c r="F40" s="113">
        <f t="shared" si="13"/>
        <v>0</v>
      </c>
      <c r="G40" s="114">
        <f t="shared" si="15"/>
        <v>0.2447824474678194</v>
      </c>
      <c r="H40" s="6"/>
      <c r="I40" s="6"/>
      <c r="M40" s="8"/>
      <c r="N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13"/>
      <c r="AC40" s="13"/>
      <c r="AD40" s="8"/>
      <c r="AH40" s="98">
        <v>0.36788686806478843</v>
      </c>
      <c r="AI40" s="98">
        <v>0.006857142857142857</v>
      </c>
      <c r="AJ40" s="98">
        <v>0.2960932939627072</v>
      </c>
      <c r="AK40" s="98">
        <v>0</v>
      </c>
      <c r="AL40" s="81"/>
      <c r="AM40" s="98">
        <v>0.36788686806478843</v>
      </c>
      <c r="AN40" s="98">
        <v>0</v>
      </c>
      <c r="AO40" s="81"/>
      <c r="AP40" s="98">
        <v>0.36788686806478843</v>
      </c>
      <c r="AQ40" s="98">
        <v>0.003646723646723647</v>
      </c>
      <c r="AR40" s="81"/>
      <c r="AS40" s="98">
        <v>0.36788686806478843</v>
      </c>
      <c r="AT40" s="98">
        <v>0.004171428571428572</v>
      </c>
      <c r="AU40" s="81"/>
      <c r="AV40" s="98">
        <v>0.36788686806478843</v>
      </c>
      <c r="AW40" s="98">
        <v>0</v>
      </c>
      <c r="AX40" s="81"/>
      <c r="AY40" s="98">
        <v>0.36788686806478843</v>
      </c>
      <c r="AZ40" s="98">
        <v>0.002057142857142857</v>
      </c>
      <c r="BA40" s="81"/>
      <c r="BB40" s="98">
        <v>0.36788686806478843</v>
      </c>
      <c r="BC40" s="98">
        <v>0.0013675213675213675</v>
      </c>
      <c r="BH40" s="2"/>
      <c r="BI40" s="2"/>
      <c r="BM40" s="2"/>
      <c r="BN40" s="2"/>
      <c r="BR40" s="2"/>
      <c r="BS40" s="2"/>
    </row>
    <row r="41" spans="1:71" ht="12">
      <c r="A41" s="101"/>
      <c r="B41" s="101">
        <f t="shared" si="14"/>
        <v>1.75</v>
      </c>
      <c r="C41" s="125">
        <f t="shared" si="10"/>
        <v>9.0825</v>
      </c>
      <c r="D41" s="125">
        <f t="shared" si="11"/>
        <v>29.0825</v>
      </c>
      <c r="E41" s="126">
        <f t="shared" si="12"/>
        <v>9.0825</v>
      </c>
      <c r="F41" s="113">
        <f t="shared" si="13"/>
        <v>0</v>
      </c>
      <c r="G41" s="114">
        <f t="shared" si="15"/>
        <v>0.20249896124562822</v>
      </c>
      <c r="H41" s="6"/>
      <c r="I41" s="6"/>
      <c r="M41" s="8"/>
      <c r="N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13"/>
      <c r="AC41" s="13"/>
      <c r="AD41" s="8"/>
      <c r="AH41" s="98">
        <v>0.3826988373761546</v>
      </c>
      <c r="AI41" s="98">
        <v>0.006857142857142857</v>
      </c>
      <c r="AJ41" s="98">
        <v>0.30599496872071835</v>
      </c>
      <c r="AK41" s="98">
        <v>0</v>
      </c>
      <c r="AL41" s="81"/>
      <c r="AM41" s="98">
        <v>0.3826988373761546</v>
      </c>
      <c r="AN41" s="98">
        <v>0</v>
      </c>
      <c r="AO41" s="81"/>
      <c r="AP41" s="98">
        <v>0.3826988373761546</v>
      </c>
      <c r="AQ41" s="98">
        <v>0.003646723646723647</v>
      </c>
      <c r="AR41" s="81"/>
      <c r="AS41" s="98">
        <v>0.3826988373761546</v>
      </c>
      <c r="AT41" s="98">
        <v>0.004171428571428572</v>
      </c>
      <c r="AU41" s="81"/>
      <c r="AV41" s="98">
        <v>0.3826988373761546</v>
      </c>
      <c r="AW41" s="98">
        <v>0</v>
      </c>
      <c r="AX41" s="81"/>
      <c r="AY41" s="98">
        <v>0.3826988373761546</v>
      </c>
      <c r="AZ41" s="98">
        <v>0.002057142857142857</v>
      </c>
      <c r="BA41" s="81"/>
      <c r="BB41" s="98">
        <v>0.3826988373761546</v>
      </c>
      <c r="BC41" s="98">
        <v>0.0013675213675213675</v>
      </c>
      <c r="BH41" s="2"/>
      <c r="BI41" s="2"/>
      <c r="BM41" s="2"/>
      <c r="BN41" s="2"/>
      <c r="BR41" s="2"/>
      <c r="BS41" s="2"/>
    </row>
    <row r="42" spans="1:71" ht="12">
      <c r="A42" s="101"/>
      <c r="B42" s="101">
        <f t="shared" si="14"/>
        <v>2.25</v>
      </c>
      <c r="C42" s="125">
        <f t="shared" si="10"/>
        <v>11.677499999999998</v>
      </c>
      <c r="D42" s="125">
        <f t="shared" si="11"/>
        <v>31.6775</v>
      </c>
      <c r="E42" s="126">
        <f t="shared" si="12"/>
        <v>11.677499999999998</v>
      </c>
      <c r="F42" s="113">
        <f t="shared" si="13"/>
        <v>0</v>
      </c>
      <c r="G42" s="114">
        <f t="shared" si="15"/>
        <v>0.17364203611564324</v>
      </c>
      <c r="H42" s="6"/>
      <c r="I42" s="6"/>
      <c r="M42" s="8"/>
      <c r="N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13"/>
      <c r="AC42" s="13"/>
      <c r="AD42" s="8"/>
      <c r="AH42" s="98">
        <v>0.3981071705534967</v>
      </c>
      <c r="AI42" s="98">
        <v>0.006857142857142857</v>
      </c>
      <c r="AJ42" s="98">
        <v>0.31622776601683666</v>
      </c>
      <c r="AK42" s="98">
        <v>0</v>
      </c>
      <c r="AL42" s="81"/>
      <c r="AM42" s="98">
        <v>0.3981071705534967</v>
      </c>
      <c r="AN42" s="98">
        <v>0</v>
      </c>
      <c r="AO42" s="81"/>
      <c r="AP42" s="98">
        <v>0.3981071705534967</v>
      </c>
      <c r="AQ42" s="98">
        <v>0.003646723646723647</v>
      </c>
      <c r="AR42" s="81"/>
      <c r="AS42" s="98">
        <v>0.3981071705534967</v>
      </c>
      <c r="AT42" s="98">
        <v>0.004171428571428572</v>
      </c>
      <c r="AU42" s="81"/>
      <c r="AV42" s="98">
        <v>0.3981071705534967</v>
      </c>
      <c r="AW42" s="98">
        <v>0</v>
      </c>
      <c r="AX42" s="81"/>
      <c r="AY42" s="98">
        <v>0.3981071705534967</v>
      </c>
      <c r="AZ42" s="98">
        <v>0.002057142857142857</v>
      </c>
      <c r="BA42" s="81"/>
      <c r="BB42" s="98">
        <v>0.3981071705534967</v>
      </c>
      <c r="BC42" s="98">
        <v>0.0013675213675213675</v>
      </c>
      <c r="BH42" s="2"/>
      <c r="BI42" s="2"/>
      <c r="BM42" s="2"/>
      <c r="BN42" s="2"/>
      <c r="BR42" s="2"/>
      <c r="BS42" s="2"/>
    </row>
    <row r="43" spans="1:71" ht="12">
      <c r="A43" s="101"/>
      <c r="B43" s="101">
        <f t="shared" si="14"/>
        <v>2.75</v>
      </c>
      <c r="C43" s="125">
        <f t="shared" si="10"/>
        <v>14.272499999999999</v>
      </c>
      <c r="D43" s="125">
        <f t="shared" si="11"/>
        <v>34.2725</v>
      </c>
      <c r="E43" s="126">
        <f t="shared" si="12"/>
        <v>14.272499999999999</v>
      </c>
      <c r="F43" s="113">
        <f t="shared" si="13"/>
        <v>0</v>
      </c>
      <c r="G43" s="114">
        <f t="shared" si="15"/>
        <v>0.15242550935806556</v>
      </c>
      <c r="H43" s="6"/>
      <c r="I43" s="6"/>
      <c r="M43" s="8"/>
      <c r="N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13"/>
      <c r="AC43" s="13"/>
      <c r="AD43" s="8"/>
      <c r="AH43" s="98">
        <v>0.41413587857423195</v>
      </c>
      <c r="AI43" s="98">
        <v>0.006857142857142857</v>
      </c>
      <c r="AJ43" s="98">
        <v>0.32680275894101124</v>
      </c>
      <c r="AK43" s="98">
        <v>0</v>
      </c>
      <c r="AL43" s="81"/>
      <c r="AM43" s="98">
        <v>0.41413587857423195</v>
      </c>
      <c r="AN43" s="98">
        <v>0</v>
      </c>
      <c r="AO43" s="81"/>
      <c r="AP43" s="98">
        <v>0.41413587857423195</v>
      </c>
      <c r="AQ43" s="98">
        <v>0.003646723646723647</v>
      </c>
      <c r="AR43" s="81"/>
      <c r="AS43" s="98">
        <v>0.41413587857423195</v>
      </c>
      <c r="AT43" s="98">
        <v>0.004171428571428572</v>
      </c>
      <c r="AU43" s="81"/>
      <c r="AV43" s="98">
        <v>0.41413587857423195</v>
      </c>
      <c r="AW43" s="98">
        <v>0</v>
      </c>
      <c r="AX43" s="81"/>
      <c r="AY43" s="98">
        <v>0.41413587857423195</v>
      </c>
      <c r="AZ43" s="98">
        <v>0.002057142857142857</v>
      </c>
      <c r="BA43" s="81"/>
      <c r="BB43" s="98">
        <v>0.41413587857423195</v>
      </c>
      <c r="BC43" s="98">
        <v>0.0013675213675213675</v>
      </c>
      <c r="BH43" s="2"/>
      <c r="BI43" s="2"/>
      <c r="BM43" s="2"/>
      <c r="BN43" s="2"/>
      <c r="BR43" s="2"/>
      <c r="BS43" s="2"/>
    </row>
    <row r="44" spans="1:71" ht="12">
      <c r="A44" s="101"/>
      <c r="B44" s="101">
        <f t="shared" si="14"/>
        <v>3.25</v>
      </c>
      <c r="C44" s="125">
        <f t="shared" si="10"/>
        <v>16.8675</v>
      </c>
      <c r="D44" s="125">
        <f t="shared" si="11"/>
        <v>36.8675</v>
      </c>
      <c r="E44" s="126">
        <f t="shared" si="12"/>
        <v>16.8675</v>
      </c>
      <c r="F44" s="113">
        <f t="shared" si="13"/>
        <v>0</v>
      </c>
      <c r="G44" s="114">
        <f t="shared" si="15"/>
        <v>0.13605785764849165</v>
      </c>
      <c r="H44" s="6"/>
      <c r="I44" s="6"/>
      <c r="M44" s="8"/>
      <c r="N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13"/>
      <c r="AC44" s="13"/>
      <c r="AD44" s="8"/>
      <c r="AH44" s="98">
        <v>0.43080993915281435</v>
      </c>
      <c r="AI44" s="98">
        <v>0.006857142857142857</v>
      </c>
      <c r="AJ44" s="98">
        <v>0.3377313908790996</v>
      </c>
      <c r="AK44" s="98">
        <v>0</v>
      </c>
      <c r="AL44" s="81"/>
      <c r="AM44" s="98">
        <v>0.43080993915281435</v>
      </c>
      <c r="AN44" s="98">
        <v>0</v>
      </c>
      <c r="AO44" s="81"/>
      <c r="AP44" s="98">
        <v>0.43080993915281435</v>
      </c>
      <c r="AQ44" s="98">
        <v>0.003646723646723647</v>
      </c>
      <c r="AR44" s="81"/>
      <c r="AS44" s="98">
        <v>0.43080993915281435</v>
      </c>
      <c r="AT44" s="98">
        <v>0.004171428571428572</v>
      </c>
      <c r="AU44" s="81"/>
      <c r="AV44" s="98">
        <v>0.43080993915281435</v>
      </c>
      <c r="AW44" s="98">
        <v>0</v>
      </c>
      <c r="AX44" s="81"/>
      <c r="AY44" s="98">
        <v>0.43080993915281435</v>
      </c>
      <c r="AZ44" s="98">
        <v>0.002057142857142857</v>
      </c>
      <c r="BA44" s="81"/>
      <c r="BB44" s="98">
        <v>0.43080993915281435</v>
      </c>
      <c r="BC44" s="98">
        <v>0.0013675213675213675</v>
      </c>
      <c r="BH44" s="2"/>
      <c r="BI44" s="2"/>
      <c r="BM44" s="2"/>
      <c r="BN44" s="2"/>
      <c r="BR44" s="2"/>
      <c r="BS44" s="2"/>
    </row>
    <row r="45" spans="1:71" ht="12">
      <c r="A45" s="101"/>
      <c r="B45" s="101">
        <f>B44+0.25</f>
        <v>3.5</v>
      </c>
      <c r="C45" s="115">
        <f t="shared" si="10"/>
        <v>18.165</v>
      </c>
      <c r="D45" s="115">
        <f t="shared" si="11"/>
        <v>38.165</v>
      </c>
      <c r="E45" s="114">
        <f t="shared" si="12"/>
        <v>18.165</v>
      </c>
      <c r="F45" s="113">
        <f t="shared" si="13"/>
        <v>0</v>
      </c>
      <c r="G45" s="114">
        <f t="shared" si="15"/>
        <v>0.12918146272644468</v>
      </c>
      <c r="H45" s="6"/>
      <c r="I45" s="6"/>
      <c r="M45" s="8"/>
      <c r="N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13"/>
      <c r="AC45" s="13"/>
      <c r="AD45" s="8"/>
      <c r="AH45" s="98">
        <v>0.4481553356637854</v>
      </c>
      <c r="AI45" s="98">
        <v>0.006857142857142857</v>
      </c>
      <c r="AJ45" s="98">
        <v>0.34902548789595667</v>
      </c>
      <c r="AK45" s="98">
        <v>0</v>
      </c>
      <c r="AL45" s="81"/>
      <c r="AM45" s="98">
        <v>0.4481553356637854</v>
      </c>
      <c r="AN45" s="98">
        <v>0</v>
      </c>
      <c r="AO45" s="81"/>
      <c r="AP45" s="98">
        <v>0.4481553356637854</v>
      </c>
      <c r="AQ45" s="98">
        <v>0.003646723646723647</v>
      </c>
      <c r="AR45" s="81"/>
      <c r="AS45" s="98">
        <v>0.4481553356637854</v>
      </c>
      <c r="AT45" s="98">
        <v>0.004171428571428572</v>
      </c>
      <c r="AU45" s="81"/>
      <c r="AV45" s="98">
        <v>0.4481553356637854</v>
      </c>
      <c r="AW45" s="98">
        <v>0</v>
      </c>
      <c r="AX45" s="81"/>
      <c r="AY45" s="98">
        <v>0.4481553356637854</v>
      </c>
      <c r="AZ45" s="98">
        <v>0.002057142857142857</v>
      </c>
      <c r="BA45" s="81"/>
      <c r="BB45" s="98">
        <v>0.4481553356637854</v>
      </c>
      <c r="BC45" s="98">
        <v>0.0013675213675213675</v>
      </c>
      <c r="BH45" s="2"/>
      <c r="BI45" s="2"/>
      <c r="BM45" s="2"/>
      <c r="BN45" s="2"/>
      <c r="BR45" s="2"/>
      <c r="BS45" s="2"/>
    </row>
    <row r="46" spans="1:71" ht="12">
      <c r="A46" s="103"/>
      <c r="B46" s="103"/>
      <c r="C46" s="103"/>
      <c r="D46" s="103"/>
      <c r="E46" s="103"/>
      <c r="F46" s="101">
        <f>SUM(F38:F39)/2</f>
        <v>0</v>
      </c>
      <c r="G46" s="115">
        <f>SUM(G38:G45)/8</f>
        <v>0.23014896188498524</v>
      </c>
      <c r="H46" s="6"/>
      <c r="M46" s="8"/>
      <c r="N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13"/>
      <c r="AC46" s="13"/>
      <c r="AD46" s="8"/>
      <c r="AH46" s="98">
        <v>0.46619909763195655</v>
      </c>
      <c r="AI46" s="98">
        <v>0.006857142857142857</v>
      </c>
      <c r="AJ46" s="98">
        <v>0.3606972715326276</v>
      </c>
      <c r="AK46" s="98">
        <v>0</v>
      </c>
      <c r="AL46" s="81"/>
      <c r="AM46" s="98">
        <v>0.46619909763195655</v>
      </c>
      <c r="AN46" s="98">
        <v>0</v>
      </c>
      <c r="AO46" s="81"/>
      <c r="AP46" s="98">
        <v>0.46619909763195655</v>
      </c>
      <c r="AQ46" s="98">
        <v>0.003646723646723647</v>
      </c>
      <c r="AR46" s="81"/>
      <c r="AS46" s="98">
        <v>0.46619909763195655</v>
      </c>
      <c r="AT46" s="98">
        <v>0.004171428571428572</v>
      </c>
      <c r="AU46" s="81"/>
      <c r="AV46" s="98">
        <v>0.46619909763195655</v>
      </c>
      <c r="AW46" s="98">
        <v>0</v>
      </c>
      <c r="AX46" s="81"/>
      <c r="AY46" s="98">
        <v>0.46619909763195655</v>
      </c>
      <c r="AZ46" s="98">
        <v>0.002057142857142857</v>
      </c>
      <c r="BA46" s="81"/>
      <c r="BB46" s="98">
        <v>0.46619909763195655</v>
      </c>
      <c r="BC46" s="98">
        <v>0.0013675213675213675</v>
      </c>
      <c r="BH46" s="2"/>
      <c r="BI46" s="2"/>
      <c r="BM46" s="2"/>
      <c r="BN46" s="2"/>
      <c r="BR46" s="2"/>
      <c r="BS46" s="2"/>
    </row>
    <row r="47" spans="6:71" ht="12.75">
      <c r="F47" s="6" t="s">
        <v>17</v>
      </c>
      <c r="G47" s="73">
        <f>G46+F46</f>
        <v>0.23014896188498524</v>
      </c>
      <c r="H47" s="6"/>
      <c r="M47" s="8"/>
      <c r="N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13"/>
      <c r="AC47" s="13"/>
      <c r="AD47" s="8"/>
      <c r="AH47" s="98">
        <v>0.48496934285281906</v>
      </c>
      <c r="AI47" s="98">
        <v>0.006857142857142857</v>
      </c>
      <c r="AJ47" s="98">
        <v>0.3727593720314925</v>
      </c>
      <c r="AK47" s="98">
        <v>0</v>
      </c>
      <c r="AL47" s="81"/>
      <c r="AM47" s="98">
        <v>0.48496934285281906</v>
      </c>
      <c r="AN47" s="98">
        <v>0</v>
      </c>
      <c r="AO47" s="81"/>
      <c r="AP47" s="98">
        <v>0.48496934285281906</v>
      </c>
      <c r="AQ47" s="98">
        <v>0.003646723646723647</v>
      </c>
      <c r="AR47" s="81"/>
      <c r="AS47" s="98">
        <v>0.48496934285281906</v>
      </c>
      <c r="AT47" s="98">
        <v>0.004171428571428572</v>
      </c>
      <c r="AU47" s="81"/>
      <c r="AV47" s="98">
        <v>0.48496934285281906</v>
      </c>
      <c r="AW47" s="98">
        <v>0</v>
      </c>
      <c r="AX47" s="81"/>
      <c r="AY47" s="98">
        <v>0.48496934285281906</v>
      </c>
      <c r="AZ47" s="98">
        <v>0.002057142857142857</v>
      </c>
      <c r="BA47" s="81"/>
      <c r="BB47" s="98">
        <v>0.48496934285281906</v>
      </c>
      <c r="BC47" s="98">
        <v>0.0013675213675213675</v>
      </c>
      <c r="BH47" s="2"/>
      <c r="BI47" s="2"/>
      <c r="BM47" s="2"/>
      <c r="BN47" s="2"/>
      <c r="BR47" s="2"/>
      <c r="BS47" s="2"/>
    </row>
    <row r="48" spans="2:71" ht="12.75">
      <c r="B48" s="8"/>
      <c r="C48" s="8"/>
      <c r="D48" s="8"/>
      <c r="E48" s="8"/>
      <c r="F48" s="6" t="s">
        <v>15</v>
      </c>
      <c r="G48" s="78">
        <f>G47*4</f>
        <v>0.920595847539941</v>
      </c>
      <c r="H48" s="6" t="s">
        <v>16</v>
      </c>
      <c r="J48" s="4" t="s">
        <v>28</v>
      </c>
      <c r="M48" s="8"/>
      <c r="N48" s="8"/>
      <c r="P48" s="135" t="s">
        <v>26</v>
      </c>
      <c r="AC48" s="13"/>
      <c r="AD48" s="8"/>
      <c r="AH48" s="98">
        <v>0.5044953212088183</v>
      </c>
      <c r="AI48" s="98">
        <v>0.006857142857142857</v>
      </c>
      <c r="AJ48" s="98">
        <v>0.3852248420036737</v>
      </c>
      <c r="AK48" s="98">
        <v>0</v>
      </c>
      <c r="AL48" s="81"/>
      <c r="AM48" s="98">
        <v>0.5044953212088183</v>
      </c>
      <c r="AN48" s="98">
        <v>0</v>
      </c>
      <c r="AO48" s="81"/>
      <c r="AP48" s="98">
        <v>0.5044953212088183</v>
      </c>
      <c r="AQ48" s="98">
        <v>0.003646723646723647</v>
      </c>
      <c r="AR48" s="81"/>
      <c r="AS48" s="98">
        <v>0.5044953212088183</v>
      </c>
      <c r="AT48" s="98">
        <v>0.004171428571428572</v>
      </c>
      <c r="AU48" s="81"/>
      <c r="AV48" s="98">
        <v>0.5044953212088183</v>
      </c>
      <c r="AW48" s="98">
        <v>0</v>
      </c>
      <c r="AX48" s="81"/>
      <c r="AY48" s="98">
        <v>0.5044953212088183</v>
      </c>
      <c r="AZ48" s="98">
        <v>0.002057142857142857</v>
      </c>
      <c r="BA48" s="81"/>
      <c r="BB48" s="98">
        <v>0.5044953212088183</v>
      </c>
      <c r="BC48" s="98">
        <v>0.0013675213675213675</v>
      </c>
      <c r="BH48" s="2"/>
      <c r="BI48" s="2"/>
      <c r="BM48" s="2"/>
      <c r="BN48" s="2"/>
      <c r="BR48" s="2"/>
      <c r="BS48" s="2"/>
    </row>
    <row r="49" spans="2:71" ht="12">
      <c r="B49" s="8"/>
      <c r="C49" s="8"/>
      <c r="D49" s="8"/>
      <c r="E49" s="8"/>
      <c r="F49" s="8"/>
      <c r="G49" s="8"/>
      <c r="M49" s="8"/>
      <c r="N49" s="8"/>
      <c r="W49" s="40" t="s">
        <v>30</v>
      </c>
      <c r="X49">
        <v>0</v>
      </c>
      <c r="Y49">
        <v>0.3</v>
      </c>
      <c r="Z49">
        <v>1</v>
      </c>
      <c r="AC49" s="13"/>
      <c r="AD49" s="8"/>
      <c r="AH49" s="98">
        <v>0.5248074602497718</v>
      </c>
      <c r="AI49" s="98">
        <v>0.006857142857142857</v>
      </c>
      <c r="AJ49" s="98">
        <v>0.39810717055349565</v>
      </c>
      <c r="AK49" s="98">
        <v>0</v>
      </c>
      <c r="AL49" s="81"/>
      <c r="AM49" s="98">
        <v>0.5248074602497718</v>
      </c>
      <c r="AN49" s="98">
        <v>0</v>
      </c>
      <c r="AO49" s="81"/>
      <c r="AP49" s="98">
        <v>0.5248074602497718</v>
      </c>
      <c r="AQ49" s="98">
        <v>0.003646723646723647</v>
      </c>
      <c r="AR49" s="81"/>
      <c r="AS49" s="98">
        <v>0.5248074602497718</v>
      </c>
      <c r="AT49" s="98">
        <v>0.004171428571428572</v>
      </c>
      <c r="AU49" s="81"/>
      <c r="AV49" s="98">
        <v>0.5248074602497718</v>
      </c>
      <c r="AW49" s="98">
        <v>0</v>
      </c>
      <c r="AX49" s="81"/>
      <c r="AY49" s="98">
        <v>0.5248074602497718</v>
      </c>
      <c r="AZ49" s="98">
        <v>0.002057142857142857</v>
      </c>
      <c r="BA49" s="81"/>
      <c r="BB49" s="98">
        <v>0.5248074602497718</v>
      </c>
      <c r="BC49" s="98">
        <v>0.0013675213675213675</v>
      </c>
      <c r="BH49" s="2"/>
      <c r="BI49" s="2"/>
      <c r="BM49" s="2"/>
      <c r="BN49" s="2"/>
      <c r="BR49" s="2"/>
      <c r="BS49" s="2"/>
    </row>
    <row r="50" spans="2:71" ht="43.5">
      <c r="B50" s="8"/>
      <c r="C50" s="8"/>
      <c r="D50" s="8"/>
      <c r="E50" s="8"/>
      <c r="F50" s="8"/>
      <c r="G50" s="8"/>
      <c r="P50" s="26" t="s">
        <v>70</v>
      </c>
      <c r="Q50" s="26" t="s">
        <v>71</v>
      </c>
      <c r="R50" s="26" t="s">
        <v>72</v>
      </c>
      <c r="S50" s="26" t="s">
        <v>73</v>
      </c>
      <c r="T50" s="26" t="s">
        <v>74</v>
      </c>
      <c r="U50" s="26" t="s">
        <v>75</v>
      </c>
      <c r="V50" s="20" t="s">
        <v>29</v>
      </c>
      <c r="W50" s="11" t="s">
        <v>78</v>
      </c>
      <c r="X50" s="11" t="s">
        <v>87</v>
      </c>
      <c r="Y50" s="11" t="s">
        <v>88</v>
      </c>
      <c r="Z50" s="11" t="s">
        <v>89</v>
      </c>
      <c r="AA50" s="97"/>
      <c r="AB50" s="19"/>
      <c r="AC50" s="19"/>
      <c r="AD50" s="19"/>
      <c r="AH50" s="98">
        <v>0.5459374126084591</v>
      </c>
      <c r="AI50" s="98">
        <v>0.006857142857142857</v>
      </c>
      <c r="AJ50" s="98">
        <v>0.41142029787528256</v>
      </c>
      <c r="AK50" s="98">
        <v>0</v>
      </c>
      <c r="AL50" s="81"/>
      <c r="AM50" s="98">
        <v>0.5459374126084591</v>
      </c>
      <c r="AN50" s="98">
        <v>0</v>
      </c>
      <c r="AO50" s="81"/>
      <c r="AP50" s="98">
        <v>0.5459374126084591</v>
      </c>
      <c r="AQ50" s="98">
        <v>0.003646723646723647</v>
      </c>
      <c r="AR50" s="81"/>
      <c r="AS50" s="98">
        <v>0.5459374126084591</v>
      </c>
      <c r="AT50" s="98">
        <v>0.004171428571428572</v>
      </c>
      <c r="AU50" s="81"/>
      <c r="AV50" s="98">
        <v>0.5459374126084591</v>
      </c>
      <c r="AW50" s="98">
        <v>0</v>
      </c>
      <c r="AX50" s="81"/>
      <c r="AY50" s="98">
        <v>0.5459374126084591</v>
      </c>
      <c r="AZ50" s="98">
        <v>0.002057142857142857</v>
      </c>
      <c r="BA50" s="81"/>
      <c r="BB50" s="98">
        <v>0.5459374126084591</v>
      </c>
      <c r="BC50" s="98">
        <v>0.0013675213675213675</v>
      </c>
      <c r="BH50" s="2"/>
      <c r="BI50" s="2"/>
      <c r="BM50" s="2"/>
      <c r="BN50" s="2"/>
      <c r="BR50" s="2"/>
      <c r="BS50" s="2"/>
    </row>
    <row r="51" spans="1:71" ht="40.5">
      <c r="A51" s="1" t="s">
        <v>18</v>
      </c>
      <c r="B51" s="29" t="s">
        <v>19</v>
      </c>
      <c r="C51" s="29" t="s">
        <v>62</v>
      </c>
      <c r="D51" s="19" t="s">
        <v>76</v>
      </c>
      <c r="E51" s="19" t="s">
        <v>77</v>
      </c>
      <c r="F51" s="19"/>
      <c r="G51" s="8"/>
      <c r="Q51" s="30">
        <v>1</v>
      </c>
      <c r="R51" s="9">
        <f aca="true" t="shared" si="16" ref="R51:R71">$I$118*Q51/4^2</f>
        <v>0.00014838258839840968</v>
      </c>
      <c r="S51" s="9">
        <f>(4*R51/3.1416)^0.5</f>
        <v>0.013745040469475688</v>
      </c>
      <c r="T51" s="9">
        <f>S51*$G$128</f>
        <v>0.008974298286335686</v>
      </c>
      <c r="U51" s="9">
        <v>0</v>
      </c>
      <c r="V51" s="9">
        <v>0</v>
      </c>
      <c r="W51" s="9">
        <f>T51+V51</f>
        <v>0.008974298286335686</v>
      </c>
      <c r="X51" s="9">
        <f>T51+(0.8*U51+0.2*V51)</f>
        <v>0.008974298286335686</v>
      </c>
      <c r="Y51" s="9">
        <f>$T51+(0.8*$S51^Y$49*$U51+(1-0.8*$S51^Y$49)*$V51)</f>
        <v>0.008974298286335686</v>
      </c>
      <c r="Z51" s="9">
        <f>$T51+(0.8*$S51^Z$49*$U51+(1-0.8*$S51^Z$49)*$V51)</f>
        <v>0.008974298286335686</v>
      </c>
      <c r="AA51" s="9"/>
      <c r="AB51" s="13"/>
      <c r="AC51" s="33"/>
      <c r="AD51" s="22"/>
      <c r="AH51" s="98">
        <v>0.5679181053252731</v>
      </c>
      <c r="AI51" s="98">
        <v>0.006857142857142857</v>
      </c>
      <c r="AJ51" s="98">
        <v>0.42517863033828734</v>
      </c>
      <c r="AK51" s="98">
        <v>0</v>
      </c>
      <c r="AL51" s="81"/>
      <c r="AM51" s="98">
        <v>0.5679181053252731</v>
      </c>
      <c r="AN51" s="98">
        <v>0</v>
      </c>
      <c r="AO51" s="81"/>
      <c r="AP51" s="98">
        <v>0.5679181053252731</v>
      </c>
      <c r="AQ51" s="98">
        <v>0.003646723646723647</v>
      </c>
      <c r="AR51" s="81"/>
      <c r="AS51" s="98">
        <v>0.5679181053252731</v>
      </c>
      <c r="AT51" s="98">
        <v>0.004171428571428572</v>
      </c>
      <c r="AU51" s="81"/>
      <c r="AV51" s="98">
        <v>0.5679181053252731</v>
      </c>
      <c r="AW51" s="98">
        <v>0</v>
      </c>
      <c r="AX51" s="81"/>
      <c r="AY51" s="98">
        <v>0.5679181053252731</v>
      </c>
      <c r="AZ51" s="98">
        <v>0.002057142857142857</v>
      </c>
      <c r="BA51" s="81"/>
      <c r="BB51" s="98">
        <v>0.5679181053252731</v>
      </c>
      <c r="BC51" s="98">
        <v>0.0013675213675213675</v>
      </c>
      <c r="BH51" s="2"/>
      <c r="BI51" s="2"/>
      <c r="BM51" s="2"/>
      <c r="BN51" s="2"/>
      <c r="BR51" s="2"/>
      <c r="BS51" s="2"/>
    </row>
    <row r="52" spans="1:71" ht="12">
      <c r="A52">
        <v>1</v>
      </c>
      <c r="B52" s="46">
        <f>G15</f>
        <v>0.18685922978079986</v>
      </c>
      <c r="C52" s="9">
        <f>H13</f>
        <v>0.009342961489039993</v>
      </c>
      <c r="D52" s="45">
        <f>I13</f>
        <v>0.0020738763412137067</v>
      </c>
      <c r="E52" s="46">
        <f>G16</f>
        <v>0.7474369191231994</v>
      </c>
      <c r="F52" s="8"/>
      <c r="G52" s="8"/>
      <c r="Q52" s="30">
        <v>2</v>
      </c>
      <c r="R52" s="9">
        <f t="shared" si="16"/>
        <v>0.00029676517679681937</v>
      </c>
      <c r="S52" s="9">
        <f aca="true" t="shared" si="17" ref="S52:S63">(4*R52/3.1416)^0.5</f>
        <v>0.019438422647299572</v>
      </c>
      <c r="T52" s="9">
        <f aca="true" t="shared" si="18" ref="T52:T71">S52*$G$128</f>
        <v>0.012691574349317555</v>
      </c>
      <c r="U52" s="9">
        <f aca="true" t="shared" si="19" ref="U52:U71">$C$9/$G$7*LOG((Q52)/($D$7))*4</f>
        <v>0.02107167428902234</v>
      </c>
      <c r="V52" s="9">
        <v>0</v>
      </c>
      <c r="W52" s="9">
        <f aca="true" t="shared" si="20" ref="W52:W71">T52+V52</f>
        <v>0.012691574349317555</v>
      </c>
      <c r="X52" s="9">
        <f aca="true" t="shared" si="21" ref="X52:X71">T52+(0.8*U52+0.2*V52)</f>
        <v>0.029548913780535428</v>
      </c>
      <c r="Y52" s="9">
        <f aca="true" t="shared" si="22" ref="Y52:Z67">$T52+(0.8*$S52^Y$49*$U52+(1-0.8*$S52^Y$49)*$V52)</f>
        <v>0.017860345902487768</v>
      </c>
      <c r="Z52" s="9">
        <f t="shared" si="22"/>
        <v>0.013019254437890556</v>
      </c>
      <c r="AA52" s="9"/>
      <c r="AB52" s="13"/>
      <c r="AC52" s="33"/>
      <c r="AD52" s="22"/>
      <c r="AH52" s="98">
        <v>0.5907837911587935</v>
      </c>
      <c r="AI52" s="98">
        <v>0.006857142857142857</v>
      </c>
      <c r="AJ52" s="98">
        <v>0.4393970560760774</v>
      </c>
      <c r="AK52" s="98">
        <v>0</v>
      </c>
      <c r="AL52" s="81"/>
      <c r="AM52" s="98">
        <v>0.5907837911587935</v>
      </c>
      <c r="AN52" s="98">
        <v>0</v>
      </c>
      <c r="AO52" s="81"/>
      <c r="AP52" s="98">
        <v>0.5907837911587935</v>
      </c>
      <c r="AQ52" s="98">
        <v>0.003646723646723647</v>
      </c>
      <c r="AR52" s="81"/>
      <c r="AS52" s="98">
        <v>0.5907837911587935</v>
      </c>
      <c r="AT52" s="98">
        <v>0.004171428571428572</v>
      </c>
      <c r="AU52" s="81"/>
      <c r="AV52" s="98">
        <v>0.5907837911587935</v>
      </c>
      <c r="AW52" s="98">
        <v>0</v>
      </c>
      <c r="AX52" s="81"/>
      <c r="AY52" s="98">
        <v>0.5907837911587935</v>
      </c>
      <c r="AZ52" s="98">
        <v>0.002057142857142857</v>
      </c>
      <c r="BA52" s="81"/>
      <c r="BB52" s="98">
        <v>0.5907837911587935</v>
      </c>
      <c r="BC52" s="98">
        <v>0.0013675213675213675</v>
      </c>
      <c r="BH52" s="2"/>
      <c r="BI52" s="2"/>
      <c r="BM52" s="2"/>
      <c r="BN52" s="2"/>
      <c r="BR52" s="2"/>
      <c r="BS52" s="2"/>
    </row>
    <row r="53" spans="1:71" ht="12">
      <c r="A53">
        <v>2</v>
      </c>
      <c r="B53" s="46">
        <f>G23</f>
        <v>0.20931068941720252</v>
      </c>
      <c r="C53" s="9">
        <f>H20</f>
        <v>0.010465534470860125</v>
      </c>
      <c r="D53" s="45">
        <f>I20</f>
        <v>0.0018514244870093451</v>
      </c>
      <c r="E53" s="46">
        <f>G24</f>
        <v>0.8372427576688101</v>
      </c>
      <c r="F53" s="8"/>
      <c r="G53" s="8"/>
      <c r="Q53" s="30">
        <v>3</v>
      </c>
      <c r="R53" s="9">
        <f t="shared" si="16"/>
        <v>0.000445147765195229</v>
      </c>
      <c r="S53" s="9">
        <f t="shared" si="17"/>
        <v>0.023807108445222266</v>
      </c>
      <c r="T53" s="9">
        <f t="shared" si="18"/>
        <v>0.015543940594211719</v>
      </c>
      <c r="U53" s="9">
        <f t="shared" si="19"/>
        <v>0.03339781357551054</v>
      </c>
      <c r="V53" s="9">
        <v>0</v>
      </c>
      <c r="W53" s="9">
        <f t="shared" si="20"/>
        <v>0.015543940594211719</v>
      </c>
      <c r="X53" s="9">
        <f t="shared" si="21"/>
        <v>0.04226219145462015</v>
      </c>
      <c r="Y53" s="9">
        <f t="shared" si="22"/>
        <v>0.0242499677653804</v>
      </c>
      <c r="Z53" s="9">
        <f t="shared" si="22"/>
        <v>0.016180024889912114</v>
      </c>
      <c r="AA53" s="9"/>
      <c r="AB53" s="13"/>
      <c r="AC53" s="33"/>
      <c r="AD53" s="22"/>
      <c r="AH53" s="98">
        <v>0.614570101962243</v>
      </c>
      <c r="AI53" s="98">
        <v>0.006857142857142857</v>
      </c>
      <c r="AJ53" s="98">
        <v>0.4540909610972458</v>
      </c>
      <c r="AK53" s="98">
        <v>0</v>
      </c>
      <c r="AL53" s="81"/>
      <c r="AM53" s="98">
        <v>0.614570101962243</v>
      </c>
      <c r="AN53" s="98">
        <v>0</v>
      </c>
      <c r="AO53" s="81"/>
      <c r="AP53" s="98">
        <v>0.614570101962243</v>
      </c>
      <c r="AQ53" s="98">
        <v>0.003646723646723647</v>
      </c>
      <c r="AR53" s="81"/>
      <c r="AS53" s="98">
        <v>0.614570101962243</v>
      </c>
      <c r="AT53" s="98">
        <v>0.004171428571428572</v>
      </c>
      <c r="AU53" s="81"/>
      <c r="AV53" s="98">
        <v>0.614570101962243</v>
      </c>
      <c r="AW53" s="98">
        <v>0</v>
      </c>
      <c r="AX53" s="81"/>
      <c r="AY53" s="98">
        <v>0.614570101962243</v>
      </c>
      <c r="AZ53" s="98">
        <v>0.003085714285714286</v>
      </c>
      <c r="BA53" s="81"/>
      <c r="BB53" s="98">
        <v>0.614570101962243</v>
      </c>
      <c r="BC53" s="98">
        <v>0.0013675213675213675</v>
      </c>
      <c r="BH53" s="2"/>
      <c r="BI53" s="2"/>
      <c r="BM53" s="2"/>
      <c r="BN53" s="2"/>
      <c r="BR53" s="2"/>
      <c r="BS53" s="2"/>
    </row>
    <row r="54" spans="1:71" ht="12">
      <c r="A54">
        <v>4</v>
      </c>
      <c r="B54" s="46">
        <f>G33</f>
        <v>0.22235403871167037</v>
      </c>
      <c r="C54" s="9">
        <f>H28</f>
        <v>0.011117701935583518</v>
      </c>
      <c r="D54" s="45">
        <f>I28</f>
        <v>0.0017428194154922594</v>
      </c>
      <c r="E54" s="46">
        <f>G34</f>
        <v>0.8894161548466815</v>
      </c>
      <c r="F54" s="8"/>
      <c r="G54" s="8"/>
      <c r="Q54" s="30">
        <v>4</v>
      </c>
      <c r="R54" s="9">
        <f t="shared" si="16"/>
        <v>0.0005935303535936387</v>
      </c>
      <c r="S54" s="9">
        <f t="shared" si="17"/>
        <v>0.027490080938951375</v>
      </c>
      <c r="T54" s="9">
        <f t="shared" si="18"/>
        <v>0.017948596572671373</v>
      </c>
      <c r="U54" s="9">
        <f t="shared" si="19"/>
        <v>0.04214334857804468</v>
      </c>
      <c r="V54" s="9">
        <v>0</v>
      </c>
      <c r="W54" s="9">
        <f t="shared" si="20"/>
        <v>0.017948596572671373</v>
      </c>
      <c r="X54" s="9">
        <f t="shared" si="21"/>
        <v>0.05166327543510712</v>
      </c>
      <c r="Y54" s="9">
        <f t="shared" si="22"/>
        <v>0.02941881881965211</v>
      </c>
      <c r="Z54" s="9">
        <f t="shared" si="22"/>
        <v>0.018875415823430483</v>
      </c>
      <c r="AA54" s="9"/>
      <c r="AB54" s="13"/>
      <c r="AC54" s="33"/>
      <c r="AD54" s="22"/>
      <c r="AH54" s="98">
        <v>0.6393141042090013</v>
      </c>
      <c r="AI54" s="98">
        <v>0.006857142857142857</v>
      </c>
      <c r="AJ54" s="98">
        <v>0.46927624593488193</v>
      </c>
      <c r="AK54" s="98">
        <v>0</v>
      </c>
      <c r="AL54" s="81"/>
      <c r="AM54" s="98">
        <v>0.6393141042090013</v>
      </c>
      <c r="AN54" s="98">
        <v>0</v>
      </c>
      <c r="AO54" s="81"/>
      <c r="AP54" s="98">
        <v>0.6393141042090013</v>
      </c>
      <c r="AQ54" s="98">
        <v>0.003646723646723647</v>
      </c>
      <c r="AR54" s="81"/>
      <c r="AS54" s="98">
        <v>0.6393141042090013</v>
      </c>
      <c r="AT54" s="98">
        <v>0.004171428571428572</v>
      </c>
      <c r="AU54" s="81"/>
      <c r="AV54" s="98">
        <v>0.6393141042090013</v>
      </c>
      <c r="AW54" s="98">
        <v>0</v>
      </c>
      <c r="AX54" s="81"/>
      <c r="AY54" s="98">
        <v>0.6393141042090013</v>
      </c>
      <c r="AZ54" s="98">
        <v>0.003085714285714286</v>
      </c>
      <c r="BA54" s="81"/>
      <c r="BB54" s="98">
        <v>0.6393141042090013</v>
      </c>
      <c r="BC54" s="98">
        <v>0.0013675213675213675</v>
      </c>
      <c r="BH54" s="2"/>
      <c r="BI54" s="2"/>
      <c r="BM54" s="2"/>
      <c r="BN54" s="2"/>
      <c r="BR54" s="2"/>
      <c r="BS54" s="2"/>
    </row>
    <row r="55" spans="1:71" ht="12">
      <c r="A55">
        <v>8</v>
      </c>
      <c r="B55" s="46">
        <f>G47</f>
        <v>0.23014896188498524</v>
      </c>
      <c r="C55" s="9">
        <f>H38</f>
        <v>0.011507448094249261</v>
      </c>
      <c r="D55" s="45">
        <f>I38</f>
        <v>0.0016837918042553563</v>
      </c>
      <c r="E55" s="46">
        <f>G48</f>
        <v>0.920595847539941</v>
      </c>
      <c r="F55" s="8"/>
      <c r="G55" s="8"/>
      <c r="Q55" s="30">
        <f aca="true" t="shared" si="23" ref="Q55:Q62">Q54*2</f>
        <v>8</v>
      </c>
      <c r="R55" s="9">
        <f t="shared" si="16"/>
        <v>0.0011870607071872775</v>
      </c>
      <c r="S55" s="9">
        <f t="shared" si="17"/>
        <v>0.038876845294599144</v>
      </c>
      <c r="T55" s="9">
        <f t="shared" si="18"/>
        <v>0.02538314869863511</v>
      </c>
      <c r="U55" s="9">
        <f t="shared" si="19"/>
        <v>0.06321502286706701</v>
      </c>
      <c r="V55" s="9">
        <v>0</v>
      </c>
      <c r="W55" s="9">
        <f t="shared" si="20"/>
        <v>0.02538314869863511</v>
      </c>
      <c r="X55" s="9">
        <f t="shared" si="21"/>
        <v>0.07595516699228871</v>
      </c>
      <c r="Y55" s="9">
        <f t="shared" si="22"/>
        <v>0.04447366136326001</v>
      </c>
      <c r="Z55" s="9">
        <f t="shared" si="22"/>
        <v>0.02734922923007312</v>
      </c>
      <c r="AA55" s="9"/>
      <c r="AB55" s="13"/>
      <c r="AC55" s="33"/>
      <c r="AD55" s="22"/>
      <c r="AH55" s="98">
        <v>0.6650543567537038</v>
      </c>
      <c r="AI55" s="98">
        <v>0.006857142857142857</v>
      </c>
      <c r="AJ55" s="98">
        <v>0.4849693428528179</v>
      </c>
      <c r="AK55" s="98">
        <v>0</v>
      </c>
      <c r="AL55" s="81"/>
      <c r="AM55" s="98">
        <v>0.6650543567537038</v>
      </c>
      <c r="AN55" s="98">
        <v>0</v>
      </c>
      <c r="AO55" s="81"/>
      <c r="AP55" s="98">
        <v>0.6650543567537038</v>
      </c>
      <c r="AQ55" s="98">
        <v>0.003646723646723647</v>
      </c>
      <c r="AR55" s="81"/>
      <c r="AS55" s="98">
        <v>0.6650543567537038</v>
      </c>
      <c r="AT55" s="98">
        <v>0.004171428571428572</v>
      </c>
      <c r="AU55" s="81"/>
      <c r="AV55" s="98">
        <v>0.6650543567537038</v>
      </c>
      <c r="AW55" s="98">
        <v>0</v>
      </c>
      <c r="AX55" s="81"/>
      <c r="AY55" s="98">
        <v>0.6650543567537038</v>
      </c>
      <c r="AZ55" s="98">
        <v>0.003085714285714286</v>
      </c>
      <c r="BA55" s="81"/>
      <c r="BB55" s="98">
        <v>0.6650543567537038</v>
      </c>
      <c r="BC55" s="98">
        <v>0.0013675213675213675</v>
      </c>
      <c r="BH55" s="2"/>
      <c r="BI55" s="2"/>
      <c r="BM55" s="2"/>
      <c r="BN55" s="2"/>
      <c r="BR55" s="2"/>
      <c r="BS55" s="2"/>
    </row>
    <row r="56" spans="2:71" ht="12">
      <c r="B56" s="8"/>
      <c r="C56" s="8"/>
      <c r="D56" s="28"/>
      <c r="E56" s="8"/>
      <c r="F56" s="8"/>
      <c r="G56" s="8"/>
      <c r="Q56" s="30">
        <f t="shared" si="23"/>
        <v>16</v>
      </c>
      <c r="R56" s="9">
        <f t="shared" si="16"/>
        <v>0.002374121414374555</v>
      </c>
      <c r="S56" s="9">
        <f t="shared" si="17"/>
        <v>0.05498016187790275</v>
      </c>
      <c r="T56" s="9">
        <f t="shared" si="18"/>
        <v>0.035897193145342746</v>
      </c>
      <c r="U56" s="9">
        <f t="shared" si="19"/>
        <v>0.08428669715608936</v>
      </c>
      <c r="V56" s="9">
        <v>0</v>
      </c>
      <c r="W56" s="9">
        <f t="shared" si="20"/>
        <v>0.035897193145342746</v>
      </c>
      <c r="X56" s="9">
        <f t="shared" si="21"/>
        <v>0.10332655087021424</v>
      </c>
      <c r="Y56" s="9">
        <f t="shared" si="22"/>
        <v>0.06414019322373256</v>
      </c>
      <c r="Z56" s="9">
        <f t="shared" si="22"/>
        <v>0.039604470148379194</v>
      </c>
      <c r="AA56" s="9"/>
      <c r="AB56" s="13"/>
      <c r="AC56" s="33"/>
      <c r="AD56" s="22"/>
      <c r="AH56" s="98">
        <v>0.6918309709189354</v>
      </c>
      <c r="AI56" s="98">
        <v>0.006857142857142857</v>
      </c>
      <c r="AJ56" s="98">
        <v>0.5011872336272704</v>
      </c>
      <c r="AK56" s="98">
        <v>0</v>
      </c>
      <c r="AL56" s="81"/>
      <c r="AM56" s="98">
        <v>0.6918309709189354</v>
      </c>
      <c r="AN56" s="98">
        <v>0</v>
      </c>
      <c r="AO56" s="81"/>
      <c r="AP56" s="98">
        <v>0.6918309709189354</v>
      </c>
      <c r="AQ56" s="98">
        <v>0.003646723646723647</v>
      </c>
      <c r="AR56" s="81"/>
      <c r="AS56" s="98">
        <v>0.6918309709189354</v>
      </c>
      <c r="AT56" s="98">
        <v>0.004171428571428572</v>
      </c>
      <c r="AU56" s="81"/>
      <c r="AV56" s="98">
        <v>0.6918309709189354</v>
      </c>
      <c r="AW56" s="98">
        <v>0</v>
      </c>
      <c r="AX56" s="81"/>
      <c r="AY56" s="98">
        <v>0.6918309709189354</v>
      </c>
      <c r="AZ56" s="98">
        <v>0.003085714285714286</v>
      </c>
      <c r="BA56" s="81"/>
      <c r="BB56" s="98">
        <v>0.6918309709189354</v>
      </c>
      <c r="BC56" s="98">
        <v>0.0013675213675213675</v>
      </c>
      <c r="BH56" s="2"/>
      <c r="BI56" s="2"/>
      <c r="BM56" s="2"/>
      <c r="BN56" s="2"/>
      <c r="BR56" s="2"/>
      <c r="BS56" s="2"/>
    </row>
    <row r="57" spans="2:71" ht="12">
      <c r="B57" s="38"/>
      <c r="C57" s="38"/>
      <c r="D57" s="38"/>
      <c r="E57" s="38"/>
      <c r="F57" s="8"/>
      <c r="G57" s="8"/>
      <c r="Q57" s="30">
        <f t="shared" si="23"/>
        <v>32</v>
      </c>
      <c r="R57" s="9">
        <f t="shared" si="16"/>
        <v>0.00474824282874911</v>
      </c>
      <c r="S57" s="9">
        <f t="shared" si="17"/>
        <v>0.07775369058919829</v>
      </c>
      <c r="T57" s="9">
        <f t="shared" si="18"/>
        <v>0.05076629739727022</v>
      </c>
      <c r="U57" s="9">
        <f t="shared" si="19"/>
        <v>0.1053583714451117</v>
      </c>
      <c r="V57" s="9">
        <v>0</v>
      </c>
      <c r="W57" s="9">
        <f t="shared" si="20"/>
        <v>0.05076629739727022</v>
      </c>
      <c r="X57" s="9">
        <f t="shared" si="21"/>
        <v>0.1350529945533596</v>
      </c>
      <c r="Y57" s="9">
        <f t="shared" si="22"/>
        <v>0.08993826075550909</v>
      </c>
      <c r="Z57" s="9">
        <f t="shared" si="22"/>
        <v>0.05731989916873025</v>
      </c>
      <c r="AA57" s="9"/>
      <c r="AB57" s="13"/>
      <c r="AC57" s="33"/>
      <c r="AD57" s="22"/>
      <c r="AH57" s="98">
        <v>0.7196856730011509</v>
      </c>
      <c r="AI57" s="98">
        <v>0.006857142857142857</v>
      </c>
      <c r="AJ57" s="98">
        <v>0.5179474679231191</v>
      </c>
      <c r="AK57" s="98">
        <v>0</v>
      </c>
      <c r="AL57" s="81"/>
      <c r="AM57" s="98">
        <v>0.7196856730011509</v>
      </c>
      <c r="AN57" s="98">
        <v>0</v>
      </c>
      <c r="AO57" s="81"/>
      <c r="AP57" s="98">
        <v>0.7196856730011509</v>
      </c>
      <c r="AQ57" s="98">
        <v>0.003646723646723647</v>
      </c>
      <c r="AR57" s="81"/>
      <c r="AS57" s="98">
        <v>0.7196856730011509</v>
      </c>
      <c r="AT57" s="98">
        <v>0.004171428571428572</v>
      </c>
      <c r="AU57" s="81"/>
      <c r="AV57" s="98">
        <v>0.7196856730011509</v>
      </c>
      <c r="AW57" s="98">
        <v>0</v>
      </c>
      <c r="AX57" s="81"/>
      <c r="AY57" s="98">
        <v>0.7196856730011509</v>
      </c>
      <c r="AZ57" s="98">
        <v>0.003085714285714286</v>
      </c>
      <c r="BA57" s="81"/>
      <c r="BB57" s="98">
        <v>0.7196856730011509</v>
      </c>
      <c r="BC57" s="98">
        <v>0.0013675213675213675</v>
      </c>
      <c r="BH57" s="2"/>
      <c r="BI57" s="2"/>
      <c r="BM57" s="2"/>
      <c r="BN57" s="2"/>
      <c r="BR57" s="2"/>
      <c r="BS57" s="2"/>
    </row>
    <row r="58" spans="2:71" ht="12">
      <c r="B58" s="8"/>
      <c r="C58" s="8"/>
      <c r="D58" s="28"/>
      <c r="E58" s="8"/>
      <c r="F58" s="8"/>
      <c r="G58" s="8"/>
      <c r="Q58" s="30">
        <f t="shared" si="23"/>
        <v>64</v>
      </c>
      <c r="R58" s="9">
        <f t="shared" si="16"/>
        <v>0.00949648565749822</v>
      </c>
      <c r="S58" s="9">
        <f t="shared" si="17"/>
        <v>0.1099603237558055</v>
      </c>
      <c r="T58" s="9">
        <f t="shared" si="18"/>
        <v>0.07179438629068549</v>
      </c>
      <c r="U58" s="9">
        <f t="shared" si="19"/>
        <v>0.12643004573413402</v>
      </c>
      <c r="V58" s="9">
        <v>0</v>
      </c>
      <c r="W58" s="9">
        <f t="shared" si="20"/>
        <v>0.07179438629068549</v>
      </c>
      <c r="X58" s="9">
        <f t="shared" si="21"/>
        <v>0.17293842287799271</v>
      </c>
      <c r="Y58" s="9">
        <f t="shared" si="22"/>
        <v>0.12395120393459996</v>
      </c>
      <c r="Z58" s="9">
        <f t="shared" si="22"/>
        <v>0.08291621729979483</v>
      </c>
      <c r="AA58" s="9"/>
      <c r="AB58" s="13"/>
      <c r="AC58" s="33"/>
      <c r="AD58" s="22"/>
      <c r="AH58" s="98">
        <v>0.7486618692932288</v>
      </c>
      <c r="AI58" s="98">
        <v>0.006857142857142857</v>
      </c>
      <c r="AJ58" s="98">
        <v>0.5352681822847084</v>
      </c>
      <c r="AK58" s="98">
        <v>0</v>
      </c>
      <c r="AL58" s="81"/>
      <c r="AM58" s="98">
        <v>0.7486618692932288</v>
      </c>
      <c r="AN58" s="98">
        <v>0</v>
      </c>
      <c r="AO58" s="81"/>
      <c r="AP58" s="98">
        <v>0.7486618692932288</v>
      </c>
      <c r="AQ58" s="98">
        <v>0.003646723646723647</v>
      </c>
      <c r="AR58" s="81"/>
      <c r="AS58" s="98">
        <v>0.7486618692932288</v>
      </c>
      <c r="AT58" s="98">
        <v>0.004171428571428572</v>
      </c>
      <c r="AU58" s="81"/>
      <c r="AV58" s="98">
        <v>0.7486618692932288</v>
      </c>
      <c r="AW58" s="98">
        <v>0</v>
      </c>
      <c r="AX58" s="81"/>
      <c r="AY58" s="98">
        <v>0.7486618692932288</v>
      </c>
      <c r="AZ58" s="98">
        <v>0.003085714285714286</v>
      </c>
      <c r="BA58" s="81"/>
      <c r="BB58" s="98">
        <v>0.7486618692932288</v>
      </c>
      <c r="BC58" s="98">
        <v>0.0013675213675213675</v>
      </c>
      <c r="BH58" s="2"/>
      <c r="BI58" s="2"/>
      <c r="BM58" s="2"/>
      <c r="BN58" s="2"/>
      <c r="BR58" s="2"/>
      <c r="BS58" s="2"/>
    </row>
    <row r="59" spans="2:71" ht="12">
      <c r="B59" s="8"/>
      <c r="C59" s="8"/>
      <c r="D59" s="28"/>
      <c r="E59" s="8"/>
      <c r="F59" s="8"/>
      <c r="G59" s="8"/>
      <c r="Q59" s="30">
        <f t="shared" si="23"/>
        <v>128</v>
      </c>
      <c r="R59" s="9">
        <f t="shared" si="16"/>
        <v>0.01899297131499644</v>
      </c>
      <c r="S59" s="9">
        <f t="shared" si="17"/>
        <v>0.15550738117839658</v>
      </c>
      <c r="T59" s="9">
        <f t="shared" si="18"/>
        <v>0.10153259479454044</v>
      </c>
      <c r="U59" s="9">
        <f t="shared" si="19"/>
        <v>0.14750172002315637</v>
      </c>
      <c r="V59" s="9">
        <v>0</v>
      </c>
      <c r="W59" s="9">
        <f t="shared" si="20"/>
        <v>0.10153259479454044</v>
      </c>
      <c r="X59" s="9">
        <f t="shared" si="21"/>
        <v>0.21953397081306553</v>
      </c>
      <c r="Y59" s="9">
        <f t="shared" si="22"/>
        <v>0.169049476182087</v>
      </c>
      <c r="Z59" s="9">
        <f t="shared" si="22"/>
        <v>0.11988267975462852</v>
      </c>
      <c r="AA59" s="9"/>
      <c r="AB59" s="13"/>
      <c r="AC59" s="33"/>
      <c r="AD59" s="22"/>
      <c r="AH59" s="98">
        <v>0.7788047137249807</v>
      </c>
      <c r="AI59" s="98">
        <v>0.006857142857142857</v>
      </c>
      <c r="AJ59" s="98">
        <v>0.5531681197617205</v>
      </c>
      <c r="AK59" s="98">
        <v>0</v>
      </c>
      <c r="AL59" s="81"/>
      <c r="AM59" s="98">
        <v>0.7788047137249807</v>
      </c>
      <c r="AN59" s="98">
        <v>0</v>
      </c>
      <c r="AO59" s="81"/>
      <c r="AP59" s="98">
        <v>0.7788047137249807</v>
      </c>
      <c r="AQ59" s="98">
        <v>0.003646723646723647</v>
      </c>
      <c r="AR59" s="81"/>
      <c r="AS59" s="98">
        <v>0.7788047137249807</v>
      </c>
      <c r="AT59" s="98">
        <v>0.004171428571428572</v>
      </c>
      <c r="AU59" s="81"/>
      <c r="AV59" s="98">
        <v>0.7788047137249807</v>
      </c>
      <c r="AW59" s="98">
        <v>0</v>
      </c>
      <c r="AX59" s="81"/>
      <c r="AY59" s="98">
        <v>0.7788047137249807</v>
      </c>
      <c r="AZ59" s="98">
        <v>0.003085714285714286</v>
      </c>
      <c r="BA59" s="81"/>
      <c r="BB59" s="98">
        <v>0.7788047137249807</v>
      </c>
      <c r="BC59" s="98">
        <v>0.0013675213675213675</v>
      </c>
      <c r="BH59" s="2"/>
      <c r="BI59" s="2"/>
      <c r="BM59" s="2"/>
      <c r="BN59" s="2"/>
      <c r="BR59" s="2"/>
      <c r="BS59" s="2"/>
    </row>
    <row r="60" spans="2:66" ht="12">
      <c r="B60" s="8"/>
      <c r="C60" s="8"/>
      <c r="D60" s="8"/>
      <c r="E60" s="8"/>
      <c r="F60" s="8"/>
      <c r="G60" s="8"/>
      <c r="Q60" s="30">
        <f t="shared" si="23"/>
        <v>256</v>
      </c>
      <c r="R60" s="9">
        <f t="shared" si="16"/>
        <v>0.03798594262999288</v>
      </c>
      <c r="S60" s="9">
        <f t="shared" si="17"/>
        <v>0.219920647511611</v>
      </c>
      <c r="T60" s="9">
        <f t="shared" si="18"/>
        <v>0.14358877258137098</v>
      </c>
      <c r="U60" s="9">
        <f t="shared" si="19"/>
        <v>0.16857339431217871</v>
      </c>
      <c r="V60" s="9">
        <v>0</v>
      </c>
      <c r="W60" s="9">
        <f t="shared" si="20"/>
        <v>0.14358877258137098</v>
      </c>
      <c r="X60" s="9">
        <f t="shared" si="21"/>
        <v>0.27844748803111397</v>
      </c>
      <c r="Y60" s="9">
        <f t="shared" si="22"/>
        <v>0.22920553879491082</v>
      </c>
      <c r="Z60" s="9">
        <f t="shared" si="22"/>
        <v>0.17324698860566257</v>
      </c>
      <c r="AA60" s="9"/>
      <c r="AB60" s="13"/>
      <c r="AC60" s="33"/>
      <c r="AD60" s="22"/>
      <c r="AH60" s="98">
        <v>0.810161178227025</v>
      </c>
      <c r="AI60" s="98">
        <v>0.006857142857142857</v>
      </c>
      <c r="AJ60" s="98">
        <v>0.5716666501913593</v>
      </c>
      <c r="AK60" s="98">
        <v>0</v>
      </c>
      <c r="AL60" s="81"/>
      <c r="AM60" s="98">
        <v>0.810161178227025</v>
      </c>
      <c r="AN60" s="98">
        <v>0</v>
      </c>
      <c r="AO60" s="81"/>
      <c r="AP60" s="98">
        <v>0.810161178227025</v>
      </c>
      <c r="AQ60" s="98">
        <v>0.003646723646723647</v>
      </c>
      <c r="AR60" s="81"/>
      <c r="AS60" s="98">
        <v>0.810161178227025</v>
      </c>
      <c r="AT60" s="98">
        <v>0.004171428571428572</v>
      </c>
      <c r="AU60" s="81"/>
      <c r="AV60" s="98">
        <v>0.810161178227025</v>
      </c>
      <c r="AW60" s="98">
        <v>0</v>
      </c>
      <c r="AX60" s="81"/>
      <c r="AY60" s="98">
        <v>0.810161178227025</v>
      </c>
      <c r="AZ60" s="98">
        <v>0.003085714285714286</v>
      </c>
      <c r="BA60" s="81"/>
      <c r="BB60" s="98">
        <v>0.810161178227025</v>
      </c>
      <c r="BC60" s="98">
        <v>0.0013675213675213675</v>
      </c>
      <c r="BH60" s="2"/>
      <c r="BI60" s="2"/>
      <c r="BM60" s="2"/>
      <c r="BN60" s="2"/>
    </row>
    <row r="61" spans="2:66" ht="12">
      <c r="B61" s="8"/>
      <c r="C61" s="8"/>
      <c r="D61" s="8"/>
      <c r="E61" s="8"/>
      <c r="F61" s="8"/>
      <c r="G61" s="8"/>
      <c r="Q61" s="30">
        <f t="shared" si="23"/>
        <v>512</v>
      </c>
      <c r="R61" s="9">
        <f t="shared" si="16"/>
        <v>0.07597188525998576</v>
      </c>
      <c r="S61" s="9">
        <f t="shared" si="17"/>
        <v>0.31101476235679315</v>
      </c>
      <c r="T61" s="9">
        <f t="shared" si="18"/>
        <v>0.20306518958908087</v>
      </c>
      <c r="U61" s="9">
        <f t="shared" si="19"/>
        <v>0.18964506860120106</v>
      </c>
      <c r="V61" s="9">
        <v>0</v>
      </c>
      <c r="W61" s="9">
        <f t="shared" si="20"/>
        <v>0.20306518958908087</v>
      </c>
      <c r="X61" s="9">
        <f t="shared" si="21"/>
        <v>0.3547812444700417</v>
      </c>
      <c r="Y61" s="9">
        <f t="shared" si="22"/>
        <v>0.30993765843775856</v>
      </c>
      <c r="Z61" s="9">
        <f t="shared" si="22"/>
        <v>0.2502511223435931</v>
      </c>
      <c r="AA61" s="9"/>
      <c r="AB61" s="13"/>
      <c r="AC61" s="33"/>
      <c r="AD61" s="22"/>
      <c r="AH61" s="98">
        <v>0.842780125927669</v>
      </c>
      <c r="AI61" s="98">
        <v>0.006857142857142857</v>
      </c>
      <c r="AJ61" s="98">
        <v>0.5907837911587921</v>
      </c>
      <c r="AK61" s="98">
        <v>0</v>
      </c>
      <c r="AL61" s="81"/>
      <c r="AM61" s="98">
        <v>0.842780125927669</v>
      </c>
      <c r="AN61" s="98">
        <v>0</v>
      </c>
      <c r="AO61" s="81"/>
      <c r="AP61" s="98">
        <v>0.842780125927669</v>
      </c>
      <c r="AQ61" s="98">
        <v>0.003646723646723647</v>
      </c>
      <c r="AR61" s="81"/>
      <c r="AS61" s="98">
        <v>0.842780125927669</v>
      </c>
      <c r="AT61" s="98">
        <v>0.004171428571428572</v>
      </c>
      <c r="AU61" s="81"/>
      <c r="AV61" s="98">
        <v>0.842780125927669</v>
      </c>
      <c r="AW61" s="98">
        <v>0</v>
      </c>
      <c r="AX61" s="81"/>
      <c r="AY61" s="98">
        <v>0.842780125927669</v>
      </c>
      <c r="AZ61" s="98">
        <v>0.003085714285714286</v>
      </c>
      <c r="BA61" s="81"/>
      <c r="BB61" s="98">
        <v>0.842780125927669</v>
      </c>
      <c r="BC61" s="98">
        <v>0.0013675213675213675</v>
      </c>
      <c r="BH61" s="2"/>
      <c r="BI61" s="2"/>
      <c r="BM61" s="2"/>
      <c r="BN61" s="2"/>
    </row>
    <row r="62" spans="2:66" ht="12">
      <c r="B62" s="8"/>
      <c r="C62" s="8"/>
      <c r="D62" s="8"/>
      <c r="E62" s="8"/>
      <c r="F62" s="8"/>
      <c r="G62" s="8"/>
      <c r="Q62" s="30">
        <f t="shared" si="23"/>
        <v>1024</v>
      </c>
      <c r="R62" s="9">
        <f t="shared" si="16"/>
        <v>0.15194377051997152</v>
      </c>
      <c r="S62" s="9">
        <f t="shared" si="17"/>
        <v>0.439841295023222</v>
      </c>
      <c r="T62" s="9">
        <f t="shared" si="18"/>
        <v>0.28717754516274197</v>
      </c>
      <c r="U62" s="9">
        <f t="shared" si="19"/>
        <v>0.2107167428902234</v>
      </c>
      <c r="V62" s="9">
        <v>0</v>
      </c>
      <c r="W62" s="9">
        <f t="shared" si="20"/>
        <v>0.28717754516274197</v>
      </c>
      <c r="X62" s="9">
        <f t="shared" si="21"/>
        <v>0.45575093947492074</v>
      </c>
      <c r="Y62" s="9">
        <f t="shared" si="22"/>
        <v>0.41893579942831366</v>
      </c>
      <c r="Z62" s="9">
        <f t="shared" si="22"/>
        <v>0.3613230852234709</v>
      </c>
      <c r="AA62" s="9"/>
      <c r="AB62" s="13"/>
      <c r="AC62" s="33"/>
      <c r="AD62" s="22"/>
      <c r="AH62" s="98">
        <v>0.876712387296867</v>
      </c>
      <c r="AI62" s="98">
        <v>0.006857142857142857</v>
      </c>
      <c r="AJ62" s="98">
        <v>0.6105402296585305</v>
      </c>
      <c r="AK62" s="98">
        <v>0</v>
      </c>
      <c r="AL62" s="81"/>
      <c r="AM62" s="98">
        <v>0.876712387296867</v>
      </c>
      <c r="AN62" s="98">
        <v>0</v>
      </c>
      <c r="AO62" s="81"/>
      <c r="AP62" s="98">
        <v>0.876712387296867</v>
      </c>
      <c r="AQ62" s="98">
        <v>0.003646723646723647</v>
      </c>
      <c r="AR62" s="81"/>
      <c r="AS62" s="98">
        <v>0.876712387296867</v>
      </c>
      <c r="AT62" s="98">
        <v>0.004171428571428572</v>
      </c>
      <c r="AU62" s="81"/>
      <c r="AV62" s="98">
        <v>0.876712387296867</v>
      </c>
      <c r="AW62" s="98">
        <v>0</v>
      </c>
      <c r="AX62" s="81"/>
      <c r="AY62" s="98">
        <v>0.876712387296867</v>
      </c>
      <c r="AZ62" s="98">
        <v>0.003085714285714286</v>
      </c>
      <c r="BA62" s="81"/>
      <c r="BB62" s="98">
        <v>0.876712387296867</v>
      </c>
      <c r="BC62" s="98">
        <v>0.0013675213675213675</v>
      </c>
      <c r="BH62" s="2"/>
      <c r="BI62" s="2"/>
      <c r="BM62" s="2"/>
      <c r="BN62" s="2"/>
    </row>
    <row r="63" spans="2:66" ht="12">
      <c r="B63" s="8"/>
      <c r="C63" s="8"/>
      <c r="D63" s="8"/>
      <c r="E63" s="8"/>
      <c r="F63" s="8"/>
      <c r="G63" s="8"/>
      <c r="Q63" s="30">
        <v>800</v>
      </c>
      <c r="R63" s="9">
        <f t="shared" si="16"/>
        <v>0.11870607071872774</v>
      </c>
      <c r="S63" s="9">
        <f t="shared" si="17"/>
        <v>0.3887684529459914</v>
      </c>
      <c r="T63" s="9">
        <f t="shared" si="18"/>
        <v>0.25383148698635105</v>
      </c>
      <c r="U63" s="9">
        <f t="shared" si="19"/>
        <v>0.20321219652110503</v>
      </c>
      <c r="V63" s="9"/>
      <c r="W63" s="9">
        <f t="shared" si="20"/>
        <v>0.25383148698635105</v>
      </c>
      <c r="X63" s="9">
        <f t="shared" si="21"/>
        <v>0.4164012442032351</v>
      </c>
      <c r="Y63" s="9">
        <f t="shared" si="22"/>
        <v>0.3762781804733826</v>
      </c>
      <c r="Z63" s="9">
        <f t="shared" si="22"/>
        <v>0.31703347999536446</v>
      </c>
      <c r="AA63" s="9"/>
      <c r="AB63" s="13"/>
      <c r="AC63" s="33"/>
      <c r="AD63" s="22"/>
      <c r="AH63" s="98">
        <v>0.9120108393559084</v>
      </c>
      <c r="AI63" s="98">
        <v>0.006857142857142857</v>
      </c>
      <c r="AJ63" s="98">
        <v>0.6309573444801908</v>
      </c>
      <c r="AK63" s="98">
        <v>0</v>
      </c>
      <c r="AL63" s="81"/>
      <c r="AM63" s="98">
        <v>0.9120108393559084</v>
      </c>
      <c r="AN63" s="98">
        <v>0</v>
      </c>
      <c r="AO63" s="81"/>
      <c r="AP63" s="98">
        <v>0.9120108393559084</v>
      </c>
      <c r="AQ63" s="98">
        <v>0.003646723646723647</v>
      </c>
      <c r="AR63" s="81"/>
      <c r="AS63" s="98">
        <v>0.9120108393559084</v>
      </c>
      <c r="AT63" s="98">
        <v>0.004171428571428572</v>
      </c>
      <c r="AU63" s="81"/>
      <c r="AV63" s="98">
        <v>0.9120108393559084</v>
      </c>
      <c r="AW63" s="98">
        <v>0</v>
      </c>
      <c r="AX63" s="81"/>
      <c r="AY63" s="98">
        <v>0.9120108393559084</v>
      </c>
      <c r="AZ63" s="98">
        <v>0.003085714285714286</v>
      </c>
      <c r="BA63" s="81"/>
      <c r="BB63" s="98">
        <v>0.9120108393559084</v>
      </c>
      <c r="BC63" s="98">
        <v>0.0013675213675213675</v>
      </c>
      <c r="BH63" s="2"/>
      <c r="BI63" s="2"/>
      <c r="BM63" s="2"/>
      <c r="BN63" s="2"/>
    </row>
    <row r="64" spans="2:61" ht="12">
      <c r="B64" s="8"/>
      <c r="C64" s="8"/>
      <c r="D64" s="8"/>
      <c r="E64" s="8"/>
      <c r="F64" s="8"/>
      <c r="G64" s="8"/>
      <c r="Q64" s="30">
        <f>Q62*2</f>
        <v>2048</v>
      </c>
      <c r="R64" s="9">
        <f t="shared" si="16"/>
        <v>0.30388754103994303</v>
      </c>
      <c r="S64" s="47">
        <f aca="true" t="shared" si="24" ref="S64:S71">1-10^((R64+0.085)/(-0.933))</f>
        <v>0.6170113397785907</v>
      </c>
      <c r="T64" s="9">
        <f t="shared" si="18"/>
        <v>0.40285394732169266</v>
      </c>
      <c r="U64" s="9">
        <f t="shared" si="19"/>
        <v>0.23178841717924575</v>
      </c>
      <c r="V64" s="9">
        <v>0</v>
      </c>
      <c r="W64" s="9">
        <f t="shared" si="20"/>
        <v>0.40285394732169266</v>
      </c>
      <c r="X64" s="9">
        <f t="shared" si="21"/>
        <v>0.5882846810650892</v>
      </c>
      <c r="Y64" s="9">
        <f t="shared" si="22"/>
        <v>0.5632780654314887</v>
      </c>
      <c r="Z64" s="9">
        <f t="shared" si="22"/>
        <v>0.5172668127848329</v>
      </c>
      <c r="AA64" s="9"/>
      <c r="AB64" s="13"/>
      <c r="AC64" s="33"/>
      <c r="AD64" s="22"/>
      <c r="AH64" s="98">
        <v>0.9487304880762701</v>
      </c>
      <c r="AI64" s="98">
        <v>0.006857142857142857</v>
      </c>
      <c r="AJ64" s="98">
        <v>0.6520572293428589</v>
      </c>
      <c r="AK64" s="98">
        <v>0</v>
      </c>
      <c r="AL64" s="81"/>
      <c r="AM64" s="98">
        <v>0.9487304880762701</v>
      </c>
      <c r="AN64" s="98">
        <v>0</v>
      </c>
      <c r="AO64" s="81"/>
      <c r="AP64" s="98">
        <v>0.9487304880762701</v>
      </c>
      <c r="AQ64" s="98">
        <v>0.003646723646723647</v>
      </c>
      <c r="AR64" s="81"/>
      <c r="AS64" s="98">
        <v>0.9487304880762701</v>
      </c>
      <c r="AT64" s="98">
        <v>0.004171428571428572</v>
      </c>
      <c r="AU64" s="81"/>
      <c r="AV64" s="98">
        <v>0.9487304880762701</v>
      </c>
      <c r="AW64" s="98">
        <v>0</v>
      </c>
      <c r="AX64" s="81"/>
      <c r="AY64" s="98">
        <v>0.9487304880762701</v>
      </c>
      <c r="AZ64" s="98">
        <v>0.003085714285714286</v>
      </c>
      <c r="BA64" s="81"/>
      <c r="BB64" s="98">
        <v>0.9487304880762701</v>
      </c>
      <c r="BC64" s="98">
        <v>0.0013675213675213675</v>
      </c>
      <c r="BH64" s="2"/>
      <c r="BI64" s="2"/>
    </row>
    <row r="65" spans="2:77" ht="12">
      <c r="B65" s="8"/>
      <c r="C65" s="8"/>
      <c r="D65" s="8"/>
      <c r="E65" s="8"/>
      <c r="F65" s="8"/>
      <c r="G65" s="8"/>
      <c r="Q65" s="30">
        <v>2500</v>
      </c>
      <c r="R65" s="9">
        <f t="shared" si="16"/>
        <v>0.3709564709960242</v>
      </c>
      <c r="S65" s="47">
        <f t="shared" si="24"/>
        <v>0.6754357555453854</v>
      </c>
      <c r="T65" s="9">
        <f t="shared" si="18"/>
        <v>0.4409999342658919</v>
      </c>
      <c r="U65" s="9">
        <f t="shared" si="19"/>
        <v>0.2378509987300313</v>
      </c>
      <c r="V65" s="9">
        <v>0</v>
      </c>
      <c r="W65" s="9">
        <f t="shared" si="20"/>
        <v>0.4409999342658919</v>
      </c>
      <c r="X65" s="9">
        <f t="shared" si="21"/>
        <v>0.631280733249917</v>
      </c>
      <c r="Y65" s="9">
        <f t="shared" si="22"/>
        <v>0.610149224773125</v>
      </c>
      <c r="Z65" s="9">
        <f t="shared" si="22"/>
        <v>0.5695223894934465</v>
      </c>
      <c r="AA65" s="9"/>
      <c r="AB65" s="13"/>
      <c r="AC65" s="33"/>
      <c r="AD65" s="22"/>
      <c r="AH65" s="98">
        <v>0.9869285540960349</v>
      </c>
      <c r="AI65" s="98">
        <v>0.006857142857142857</v>
      </c>
      <c r="AJ65" s="98">
        <v>0.673862716803092</v>
      </c>
      <c r="AK65" s="98">
        <v>0</v>
      </c>
      <c r="AL65" s="81"/>
      <c r="AM65" s="98">
        <v>0.9869285540960349</v>
      </c>
      <c r="AN65" s="98">
        <v>0</v>
      </c>
      <c r="AO65" s="81"/>
      <c r="AP65" s="98">
        <v>0.9869285540960349</v>
      </c>
      <c r="AQ65" s="98">
        <v>0.003646723646723647</v>
      </c>
      <c r="AR65" s="81"/>
      <c r="AS65" s="98">
        <v>0.9869285540960349</v>
      </c>
      <c r="AT65" s="98">
        <v>0.004171428571428572</v>
      </c>
      <c r="AU65" s="81"/>
      <c r="AV65" s="98">
        <v>0.9869285540960349</v>
      </c>
      <c r="AW65" s="98">
        <v>0</v>
      </c>
      <c r="AX65" s="81"/>
      <c r="AY65" s="98">
        <v>0.9869285540960349</v>
      </c>
      <c r="AZ65" s="98">
        <v>0.003085714285714286</v>
      </c>
      <c r="BA65" s="81"/>
      <c r="BB65" s="98">
        <v>0.9869285540960349</v>
      </c>
      <c r="BC65" s="98">
        <v>0.0013675213675213675</v>
      </c>
      <c r="BF65" t="s">
        <v>7</v>
      </c>
      <c r="BG65" t="s">
        <v>8</v>
      </c>
      <c r="BH65" t="s">
        <v>11</v>
      </c>
      <c r="BI65" t="s">
        <v>12</v>
      </c>
      <c r="BK65" t="s">
        <v>7</v>
      </c>
      <c r="BL65" t="s">
        <v>8</v>
      </c>
      <c r="BM65" t="s">
        <v>11</v>
      </c>
      <c r="BN65" t="s">
        <v>12</v>
      </c>
      <c r="BP65" t="s">
        <v>7</v>
      </c>
      <c r="BQ65" t="s">
        <v>8</v>
      </c>
      <c r="BR65" t="s">
        <v>11</v>
      </c>
      <c r="BS65" t="s">
        <v>12</v>
      </c>
      <c r="BV65" t="s">
        <v>7</v>
      </c>
      <c r="BW65" t="s">
        <v>8</v>
      </c>
      <c r="BX65" t="s">
        <v>11</v>
      </c>
      <c r="BY65" t="s">
        <v>12</v>
      </c>
    </row>
    <row r="66" spans="2:77" ht="12">
      <c r="B66" s="8"/>
      <c r="C66" s="8"/>
      <c r="D66" s="8"/>
      <c r="E66" s="8"/>
      <c r="F66" s="8"/>
      <c r="G66" s="8"/>
      <c r="Q66" s="30">
        <v>5000</v>
      </c>
      <c r="R66" s="9">
        <f t="shared" si="16"/>
        <v>0.7419129419920484</v>
      </c>
      <c r="S66" s="47">
        <f t="shared" si="24"/>
        <v>0.8700712339110964</v>
      </c>
      <c r="T66" s="9">
        <f t="shared" si="18"/>
        <v>0.5680797230694644</v>
      </c>
      <c r="U66" s="9">
        <f t="shared" si="19"/>
        <v>0.25892267301905364</v>
      </c>
      <c r="V66" s="9">
        <v>0</v>
      </c>
      <c r="W66" s="9">
        <f t="shared" si="20"/>
        <v>0.5680797230694644</v>
      </c>
      <c r="X66" s="9">
        <f t="shared" si="21"/>
        <v>0.7752178614847074</v>
      </c>
      <c r="Y66" s="9">
        <f t="shared" si="22"/>
        <v>0.7667470790809144</v>
      </c>
      <c r="Z66" s="9">
        <f t="shared" si="22"/>
        <v>0.7483046587504623</v>
      </c>
      <c r="AA66" s="9"/>
      <c r="AB66" s="13"/>
      <c r="AC66" s="33"/>
      <c r="AD66" s="22"/>
      <c r="AH66" s="98">
        <v>1.0266645618874495</v>
      </c>
      <c r="AI66" s="98">
        <v>0.006857142857142857</v>
      </c>
      <c r="AJ66" s="98">
        <v>0.6963974029624292</v>
      </c>
      <c r="AK66" s="98">
        <v>0</v>
      </c>
      <c r="AL66" s="81"/>
      <c r="AM66" s="98">
        <v>1.0266645618874495</v>
      </c>
      <c r="AN66" s="98">
        <v>0</v>
      </c>
      <c r="AO66" s="81"/>
      <c r="AP66" s="98">
        <v>1.0266645618874495</v>
      </c>
      <c r="AQ66" s="98">
        <v>0.003646723646723647</v>
      </c>
      <c r="AR66" s="81"/>
      <c r="AS66" s="98">
        <v>1.0266645618874495</v>
      </c>
      <c r="AT66" s="98">
        <v>0.004171428571428572</v>
      </c>
      <c r="AU66" s="81"/>
      <c r="AV66" s="98">
        <v>1.0266645618874495</v>
      </c>
      <c r="AW66" s="98">
        <v>0</v>
      </c>
      <c r="AX66" s="81"/>
      <c r="AY66" s="98">
        <v>1.0266645618874495</v>
      </c>
      <c r="AZ66" s="98">
        <v>0.003085714285714286</v>
      </c>
      <c r="BA66" s="81"/>
      <c r="BB66" s="98">
        <v>1.0266645618874495</v>
      </c>
      <c r="BC66" s="98">
        <v>0.0013675213675213675</v>
      </c>
      <c r="BF66">
        <v>0</v>
      </c>
      <c r="BG66">
        <v>0</v>
      </c>
      <c r="BH66" s="2">
        <v>0</v>
      </c>
      <c r="BI66" t="s">
        <v>13</v>
      </c>
      <c r="BK66">
        <v>0</v>
      </c>
      <c r="BL66">
        <v>0</v>
      </c>
      <c r="BM66" s="2">
        <v>0</v>
      </c>
      <c r="BN66" t="s">
        <v>13</v>
      </c>
      <c r="BP66">
        <v>0</v>
      </c>
      <c r="BQ66">
        <v>0</v>
      </c>
      <c r="BR66" s="2">
        <v>0</v>
      </c>
      <c r="BS66" t="s">
        <v>13</v>
      </c>
      <c r="BV66">
        <v>0</v>
      </c>
      <c r="BW66">
        <v>0</v>
      </c>
      <c r="BX66" s="2">
        <v>0</v>
      </c>
      <c r="BY66" t="s">
        <v>13</v>
      </c>
    </row>
    <row r="67" spans="2:77" ht="15">
      <c r="B67" s="8"/>
      <c r="C67" s="8"/>
      <c r="D67" s="8"/>
      <c r="E67" s="8"/>
      <c r="F67" s="8"/>
      <c r="G67" s="8"/>
      <c r="O67" s="68" t="s">
        <v>69</v>
      </c>
      <c r="P67" s="70">
        <f>Q67/365</f>
        <v>27.698630136986303</v>
      </c>
      <c r="Q67" s="69">
        <v>10110</v>
      </c>
      <c r="R67" s="48">
        <f t="shared" si="16"/>
        <v>1.500147968707922</v>
      </c>
      <c r="S67" s="48">
        <f t="shared" si="24"/>
        <v>0.9800004419859456</v>
      </c>
      <c r="T67" s="9">
        <f t="shared" si="18"/>
        <v>0.6398537935667621</v>
      </c>
      <c r="U67" s="48">
        <f t="shared" si="19"/>
        <v>0.28032692148524135</v>
      </c>
      <c r="V67" s="48">
        <f>$C$9/$G$7*LOG(Q67/$Q$67)*4</f>
        <v>0</v>
      </c>
      <c r="W67" s="48">
        <f t="shared" si="20"/>
        <v>0.6398537935667621</v>
      </c>
      <c r="X67" s="48">
        <f t="shared" si="21"/>
        <v>0.8641153307549552</v>
      </c>
      <c r="Y67" s="48">
        <f t="shared" si="22"/>
        <v>0.8627602644956421</v>
      </c>
      <c r="Z67" s="48">
        <f t="shared" si="22"/>
        <v>0.8596301991316389</v>
      </c>
      <c r="AA67" s="48"/>
      <c r="AB67" s="69"/>
      <c r="AC67" s="33"/>
      <c r="AD67" s="22"/>
      <c r="AH67" s="98">
        <v>1.0680004325145742</v>
      </c>
      <c r="AI67" s="98">
        <v>0.006857142857142857</v>
      </c>
      <c r="AJ67" s="98">
        <v>0.7196856730011493</v>
      </c>
      <c r="AK67" s="98">
        <v>0</v>
      </c>
      <c r="AL67" s="81"/>
      <c r="AM67" s="98">
        <v>1.0680004325145742</v>
      </c>
      <c r="AN67" s="98">
        <v>0</v>
      </c>
      <c r="AO67" s="81"/>
      <c r="AP67" s="98">
        <v>1.0680004325145742</v>
      </c>
      <c r="AQ67" s="98">
        <v>0.003646723646723647</v>
      </c>
      <c r="AR67" s="81"/>
      <c r="AS67" s="98">
        <v>1.0680004325145742</v>
      </c>
      <c r="AT67" s="98">
        <v>0.004171428571428572</v>
      </c>
      <c r="AU67" s="81"/>
      <c r="AV67" s="98">
        <v>1.0680004325145742</v>
      </c>
      <c r="AW67" s="98">
        <v>0</v>
      </c>
      <c r="AX67" s="81"/>
      <c r="AY67" s="98">
        <v>1.0680004325145742</v>
      </c>
      <c r="AZ67" s="98">
        <v>0.003085714285714286</v>
      </c>
      <c r="BA67" s="81"/>
      <c r="BB67" s="98">
        <v>1.0680004325145742</v>
      </c>
      <c r="BC67" s="98">
        <v>0.0013675213675213675</v>
      </c>
      <c r="BF67">
        <v>1</v>
      </c>
      <c r="BG67">
        <v>1</v>
      </c>
      <c r="BH67" s="2">
        <v>0</v>
      </c>
      <c r="BI67" s="2">
        <v>0</v>
      </c>
      <c r="BK67">
        <v>1</v>
      </c>
      <c r="BL67">
        <v>1</v>
      </c>
      <c r="BM67" s="2">
        <v>0</v>
      </c>
      <c r="BN67" s="2">
        <v>0</v>
      </c>
      <c r="BP67">
        <v>1</v>
      </c>
      <c r="BQ67">
        <v>1</v>
      </c>
      <c r="BR67" s="2">
        <v>0</v>
      </c>
      <c r="BS67" s="2">
        <v>0</v>
      </c>
      <c r="BV67">
        <v>1</v>
      </c>
      <c r="BW67">
        <v>1</v>
      </c>
      <c r="BX67" s="2">
        <v>0</v>
      </c>
      <c r="BY67" s="2">
        <v>0</v>
      </c>
    </row>
    <row r="68" spans="2:77" ht="12">
      <c r="B68" s="8"/>
      <c r="C68" s="8"/>
      <c r="D68" s="8"/>
      <c r="E68" s="8"/>
      <c r="F68" s="8"/>
      <c r="G68" s="8"/>
      <c r="Q68" s="30">
        <v>14000</v>
      </c>
      <c r="R68" s="9">
        <f t="shared" si="16"/>
        <v>2.0773562375777357</v>
      </c>
      <c r="S68" s="9">
        <f t="shared" si="24"/>
        <v>0.9951875966814762</v>
      </c>
      <c r="T68" s="9">
        <f t="shared" si="18"/>
        <v>0.6497696651613994</v>
      </c>
      <c r="U68" s="9">
        <f t="shared" si="19"/>
        <v>0.29022310330136086</v>
      </c>
      <c r="V68" s="9">
        <f>$C$9/$G$7*LOG(Q68/$Q$67)*4</f>
        <v>0.00989618181611951</v>
      </c>
      <c r="W68" s="9">
        <f t="shared" si="20"/>
        <v>0.659665846977519</v>
      </c>
      <c r="X68" s="9">
        <f t="shared" si="21"/>
        <v>0.883927384165712</v>
      </c>
      <c r="Y68" s="9">
        <f aca="true" t="shared" si="25" ref="Y68:Z71">$T68+(0.8*$S68^Y$49*$U68+(1-0.8*$S68^Y$49)*$V68)</f>
        <v>0.8836030662429957</v>
      </c>
      <c r="Z68" s="9">
        <f t="shared" si="25"/>
        <v>0.8828481471999303</v>
      </c>
      <c r="AA68" s="9"/>
      <c r="AB68" s="13"/>
      <c r="AC68" s="33"/>
      <c r="AD68" s="22"/>
      <c r="AH68" s="98">
        <v>1.1110005801255671</v>
      </c>
      <c r="AI68" s="98">
        <v>0.006857142857142857</v>
      </c>
      <c r="AJ68" s="98">
        <v>0.7437527275659017</v>
      </c>
      <c r="AK68" s="98">
        <v>0</v>
      </c>
      <c r="AL68" s="81"/>
      <c r="AM68" s="98">
        <v>1.1110005801255671</v>
      </c>
      <c r="AN68" s="98">
        <v>0</v>
      </c>
      <c r="AO68" s="81"/>
      <c r="AP68" s="98">
        <v>1.1110005801255671</v>
      </c>
      <c r="AQ68" s="98">
        <v>0.003646723646723647</v>
      </c>
      <c r="AR68" s="81"/>
      <c r="AS68" s="98">
        <v>1.1110005801255671</v>
      </c>
      <c r="AT68" s="98">
        <v>0.004171428571428572</v>
      </c>
      <c r="AU68" s="81"/>
      <c r="AV68" s="98">
        <v>1.1110005801255671</v>
      </c>
      <c r="AW68" s="98">
        <v>0</v>
      </c>
      <c r="AX68" s="81"/>
      <c r="AY68" s="98">
        <v>1.1110005801255671</v>
      </c>
      <c r="AZ68" s="98">
        <v>0.003085714285714286</v>
      </c>
      <c r="BA68" s="81"/>
      <c r="BB68" s="98">
        <v>1.1110005801255671</v>
      </c>
      <c r="BC68" s="98">
        <v>0.0013675213675213675</v>
      </c>
      <c r="BF68">
        <v>2</v>
      </c>
      <c r="BG68">
        <v>1</v>
      </c>
      <c r="BH68" s="2">
        <v>0.025</v>
      </c>
      <c r="BI68" s="2">
        <v>0.000589330453961313</v>
      </c>
      <c r="BK68">
        <v>2</v>
      </c>
      <c r="BL68">
        <v>1</v>
      </c>
      <c r="BM68" s="2">
        <v>0.025</v>
      </c>
      <c r="BN68" s="2">
        <v>0.000543437801720466</v>
      </c>
      <c r="BP68">
        <v>2</v>
      </c>
      <c r="BQ68">
        <v>1</v>
      </c>
      <c r="BR68" s="2">
        <v>0.025</v>
      </c>
      <c r="BS68" s="2">
        <v>0.000418406377771861</v>
      </c>
      <c r="BV68">
        <v>2</v>
      </c>
      <c r="BW68">
        <v>1</v>
      </c>
      <c r="BX68" s="2">
        <v>0.025</v>
      </c>
      <c r="BY68" s="2">
        <v>0.000645936264459743</v>
      </c>
    </row>
    <row r="69" spans="2:77" ht="12">
      <c r="B69" s="8"/>
      <c r="C69" s="8"/>
      <c r="D69" s="8"/>
      <c r="E69" s="8"/>
      <c r="F69" s="8"/>
      <c r="G69" s="8"/>
      <c r="P69">
        <v>50</v>
      </c>
      <c r="Q69" s="30">
        <f>50*365</f>
        <v>18250</v>
      </c>
      <c r="R69" s="9">
        <f t="shared" si="16"/>
        <v>2.7079822382709766</v>
      </c>
      <c r="S69" s="9">
        <f t="shared" si="24"/>
        <v>0.9989850377131378</v>
      </c>
      <c r="T69" s="9">
        <f>S69*$G$128</f>
        <v>0.6522490589921113</v>
      </c>
      <c r="U69" s="9">
        <f t="shared" si="19"/>
        <v>0.2982823789139234</v>
      </c>
      <c r="V69" s="9">
        <f>$C$9/$G$7*LOG(Q69/$Q$67)*4</f>
        <v>0.01795545742868206</v>
      </c>
      <c r="W69" s="9">
        <f t="shared" si="20"/>
        <v>0.6702045164207934</v>
      </c>
      <c r="X69" s="9">
        <f t="shared" si="21"/>
        <v>0.8944660536089865</v>
      </c>
      <c r="Y69" s="9">
        <f t="shared" si="25"/>
        <v>0.8943977442368527</v>
      </c>
      <c r="Z69" s="9">
        <f t="shared" si="25"/>
        <v>0.8942384366063467</v>
      </c>
      <c r="AA69" s="9"/>
      <c r="AB69" s="13"/>
      <c r="AC69" s="33"/>
      <c r="AD69" s="22"/>
      <c r="AH69" s="98">
        <v>1.1557320123299695</v>
      </c>
      <c r="AI69" s="98">
        <v>0.006857142857142857</v>
      </c>
      <c r="AJ69" s="98">
        <v>0.7686246100397709</v>
      </c>
      <c r="AK69" s="98">
        <v>0</v>
      </c>
      <c r="AL69" s="81"/>
      <c r="AM69" s="98">
        <v>1.1557320123299695</v>
      </c>
      <c r="AN69" s="98">
        <v>0</v>
      </c>
      <c r="AO69" s="81"/>
      <c r="AP69" s="98">
        <v>1.1557320123299695</v>
      </c>
      <c r="AQ69" s="98">
        <v>0.003646723646723647</v>
      </c>
      <c r="AR69" s="81"/>
      <c r="AS69" s="98">
        <v>1.1557320123299695</v>
      </c>
      <c r="AT69" s="98">
        <v>0.004171428571428572</v>
      </c>
      <c r="AU69" s="81"/>
      <c r="AV69" s="98">
        <v>1.1557320123299695</v>
      </c>
      <c r="AW69" s="98">
        <v>0</v>
      </c>
      <c r="AX69" s="81"/>
      <c r="AY69" s="98">
        <v>1.1557320123299695</v>
      </c>
      <c r="AZ69" s="98">
        <v>0.003085714285714286</v>
      </c>
      <c r="BA69" s="81"/>
      <c r="BB69" s="98">
        <v>1.1557320123299695</v>
      </c>
      <c r="BC69" s="98">
        <v>0.0013675213675213675</v>
      </c>
      <c r="BF69">
        <v>3</v>
      </c>
      <c r="BG69">
        <v>2</v>
      </c>
      <c r="BH69" s="2">
        <v>0.075</v>
      </c>
      <c r="BI69" s="2">
        <v>0.00148318662043267</v>
      </c>
      <c r="BK69">
        <v>3</v>
      </c>
      <c r="BL69">
        <v>2</v>
      </c>
      <c r="BM69" s="2">
        <v>0.075</v>
      </c>
      <c r="BN69" s="2">
        <v>0.00137382350668232</v>
      </c>
      <c r="BP69">
        <v>3</v>
      </c>
      <c r="BQ69">
        <v>2</v>
      </c>
      <c r="BR69" s="2">
        <v>0.075</v>
      </c>
      <c r="BS69" s="2">
        <v>0.00107179446982771</v>
      </c>
      <c r="BV69">
        <v>3</v>
      </c>
      <c r="BW69">
        <v>2</v>
      </c>
      <c r="BX69" s="2">
        <v>0.05</v>
      </c>
      <c r="BY69" s="2">
        <v>0.00113487562281124</v>
      </c>
    </row>
    <row r="70" spans="2:77" ht="12">
      <c r="B70" s="8"/>
      <c r="C70" s="8"/>
      <c r="D70" s="8"/>
      <c r="E70" s="8"/>
      <c r="F70" s="8"/>
      <c r="G70" s="8"/>
      <c r="P70">
        <v>80</v>
      </c>
      <c r="Q70" s="8">
        <f>80*365</f>
        <v>29200</v>
      </c>
      <c r="R70" s="9">
        <f t="shared" si="16"/>
        <v>4.332771581233563</v>
      </c>
      <c r="S70" s="9">
        <f t="shared" si="24"/>
        <v>0.9999815930332403</v>
      </c>
      <c r="T70" s="9">
        <f t="shared" si="18"/>
        <v>0.652899721659951</v>
      </c>
      <c r="U70" s="9">
        <f t="shared" si="19"/>
        <v>0.3125704892429938</v>
      </c>
      <c r="V70" s="9">
        <f>$C$9/$G$7*LOG(Q70/$Q$67)*4</f>
        <v>0.03224356775775243</v>
      </c>
      <c r="W70" s="9">
        <f t="shared" si="20"/>
        <v>0.6851432894177034</v>
      </c>
      <c r="X70" s="9">
        <f t="shared" si="21"/>
        <v>0.9094048266058965</v>
      </c>
      <c r="Y70" s="9">
        <f t="shared" si="25"/>
        <v>0.90940358820552</v>
      </c>
      <c r="Z70" s="9">
        <f t="shared" si="25"/>
        <v>0.9094006986312361</v>
      </c>
      <c r="AA70" s="9"/>
      <c r="AB70" s="13"/>
      <c r="AC70" s="33"/>
      <c r="AD70" s="22"/>
      <c r="AH70" s="98">
        <v>1.2022644346174112</v>
      </c>
      <c r="AI70" s="98">
        <v>0.006857142857142857</v>
      </c>
      <c r="AJ70" s="98">
        <v>0.7943282347242785</v>
      </c>
      <c r="AK70" s="98">
        <v>0</v>
      </c>
      <c r="AL70" s="81"/>
      <c r="AM70" s="98">
        <v>1.2022644346174112</v>
      </c>
      <c r="AN70" s="98">
        <v>0</v>
      </c>
      <c r="AO70" s="81"/>
      <c r="AP70" s="98">
        <v>1.2022644346174112</v>
      </c>
      <c r="AQ70" s="98">
        <v>0.003646723646723647</v>
      </c>
      <c r="AR70" s="81"/>
      <c r="AS70" s="98">
        <v>1.2022644346174112</v>
      </c>
      <c r="AT70" s="98">
        <v>0.004171428571428572</v>
      </c>
      <c r="AU70" s="81"/>
      <c r="AV70" s="98">
        <v>1.2022644346174112</v>
      </c>
      <c r="AW70" s="98">
        <v>0</v>
      </c>
      <c r="AX70" s="81"/>
      <c r="AY70" s="98">
        <v>1.2022644346174112</v>
      </c>
      <c r="AZ70" s="98">
        <v>0.003085714285714286</v>
      </c>
      <c r="BA70" s="81"/>
      <c r="BB70" s="98">
        <v>1.2022644346174112</v>
      </c>
      <c r="BC70" s="98">
        <v>0.0013675213675213675</v>
      </c>
      <c r="BF70">
        <v>4</v>
      </c>
      <c r="BG70">
        <v>3</v>
      </c>
      <c r="BH70" s="2">
        <v>0.1</v>
      </c>
      <c r="BI70" s="2">
        <v>0.00191486962540232</v>
      </c>
      <c r="BK70">
        <v>4</v>
      </c>
      <c r="BL70">
        <v>3</v>
      </c>
      <c r="BM70" s="2">
        <v>0.1</v>
      </c>
      <c r="BN70" s="2">
        <v>0.00177528376961149</v>
      </c>
      <c r="BP70">
        <v>4</v>
      </c>
      <c r="BQ70">
        <v>3</v>
      </c>
      <c r="BR70" s="2">
        <v>0.1</v>
      </c>
      <c r="BS70" s="2">
        <v>0.00138865801543297</v>
      </c>
      <c r="BV70">
        <v>4</v>
      </c>
      <c r="BW70">
        <v>3</v>
      </c>
      <c r="BX70" s="2">
        <v>0.1</v>
      </c>
      <c r="BY70" s="2">
        <v>0.00210292907332544</v>
      </c>
    </row>
    <row r="71" spans="2:77" ht="12">
      <c r="B71" s="8"/>
      <c r="C71" s="8"/>
      <c r="D71" s="8"/>
      <c r="E71" s="8"/>
      <c r="F71" s="8"/>
      <c r="G71" s="8"/>
      <c r="M71" s="8"/>
      <c r="N71" s="8"/>
      <c r="P71">
        <v>100</v>
      </c>
      <c r="Q71" s="8">
        <f>100*365</f>
        <v>36500</v>
      </c>
      <c r="R71" s="9">
        <f t="shared" si="16"/>
        <v>5.415964476541953</v>
      </c>
      <c r="S71" s="9">
        <f t="shared" si="24"/>
        <v>0.9999987294148462</v>
      </c>
      <c r="T71" s="9">
        <f t="shared" si="18"/>
        <v>0.652910910204679</v>
      </c>
      <c r="U71" s="9">
        <f t="shared" si="19"/>
        <v>0.31935405320294574</v>
      </c>
      <c r="V71" s="9">
        <f>$C$9/$G$7*LOG(Q71/$Q$67)*4</f>
        <v>0.0390271317177044</v>
      </c>
      <c r="W71" s="9">
        <f t="shared" si="20"/>
        <v>0.6919380419223834</v>
      </c>
      <c r="X71" s="9">
        <f t="shared" si="21"/>
        <v>0.9161995791105764</v>
      </c>
      <c r="Y71" s="9">
        <f t="shared" si="25"/>
        <v>0.9161994936275244</v>
      </c>
      <c r="Z71" s="9">
        <f t="shared" si="25"/>
        <v>0.9161992941671968</v>
      </c>
      <c r="AA71" s="9"/>
      <c r="AB71" s="13"/>
      <c r="AC71" s="33"/>
      <c r="AD71" s="22"/>
      <c r="AH71" s="98">
        <v>1.2506703589804522</v>
      </c>
      <c r="AI71" s="98">
        <v>0.006857142857142857</v>
      </c>
      <c r="AJ71" s="98">
        <v>0.8208914159638225</v>
      </c>
      <c r="AK71" s="98">
        <v>0</v>
      </c>
      <c r="AL71" s="81"/>
      <c r="AM71" s="98">
        <v>1.2506703589804522</v>
      </c>
      <c r="AN71" s="98">
        <v>0</v>
      </c>
      <c r="AO71" s="81"/>
      <c r="AP71" s="98">
        <v>1.2506703589804522</v>
      </c>
      <c r="AQ71" s="98">
        <v>0.003646723646723647</v>
      </c>
      <c r="AR71" s="81"/>
      <c r="AS71" s="98">
        <v>1.2506703589804522</v>
      </c>
      <c r="AT71" s="98">
        <v>0.004171428571428572</v>
      </c>
      <c r="AU71" s="81"/>
      <c r="AV71" s="98">
        <v>1.2506703589804522</v>
      </c>
      <c r="AW71" s="98">
        <v>0</v>
      </c>
      <c r="AX71" s="81"/>
      <c r="AY71" s="98">
        <v>1.2506703589804522</v>
      </c>
      <c r="AZ71" s="98">
        <v>0.003085714285714286</v>
      </c>
      <c r="BA71" s="81"/>
      <c r="BB71" s="98">
        <v>1.2506703589804522</v>
      </c>
      <c r="BC71" s="98">
        <v>0.0013675213675213675</v>
      </c>
      <c r="BF71">
        <v>5</v>
      </c>
      <c r="BG71">
        <v>4</v>
      </c>
      <c r="BH71" s="2">
        <v>0.100482637475841</v>
      </c>
      <c r="BI71" s="2">
        <v>0.00186885303543099</v>
      </c>
      <c r="BK71">
        <v>5</v>
      </c>
      <c r="BL71">
        <v>4</v>
      </c>
      <c r="BM71" s="2">
        <v>0.100193412393525</v>
      </c>
      <c r="BN71" s="2">
        <v>0.00150444417205347</v>
      </c>
      <c r="BP71">
        <v>5</v>
      </c>
      <c r="BQ71">
        <v>4</v>
      </c>
      <c r="BR71" s="2">
        <v>0.100103607513825</v>
      </c>
      <c r="BS71" s="2">
        <v>0.0010476610189332</v>
      </c>
      <c r="BV71">
        <v>5</v>
      </c>
      <c r="BW71">
        <v>4</v>
      </c>
      <c r="BX71" s="2">
        <v>0.100106438023622</v>
      </c>
      <c r="BY71" s="2">
        <v>0.00174046692435319</v>
      </c>
    </row>
    <row r="72" spans="2:77" ht="12">
      <c r="B72" s="8"/>
      <c r="C72" s="8"/>
      <c r="D72" s="8"/>
      <c r="E72" s="8"/>
      <c r="F72" s="8"/>
      <c r="G72" s="8"/>
      <c r="M72" s="8"/>
      <c r="N72" s="8"/>
      <c r="AB72" s="13"/>
      <c r="AC72" s="34"/>
      <c r="AD72" s="22"/>
      <c r="AH72" s="98">
        <v>1.3010252169108294</v>
      </c>
      <c r="AI72" s="98">
        <v>0.006857142857142857</v>
      </c>
      <c r="AJ72" s="98">
        <v>0.8483428982440688</v>
      </c>
      <c r="AK72" s="98">
        <v>0</v>
      </c>
      <c r="AL72" s="81"/>
      <c r="AM72" s="98">
        <v>1.3010252169108294</v>
      </c>
      <c r="AN72" s="98">
        <v>0</v>
      </c>
      <c r="AO72" s="81"/>
      <c r="AP72" s="98">
        <v>1.3010252169108294</v>
      </c>
      <c r="AQ72" s="98">
        <v>0.003646723646723647</v>
      </c>
      <c r="AR72" s="81"/>
      <c r="AS72" s="98">
        <v>1.3010252169108294</v>
      </c>
      <c r="AT72" s="98">
        <v>0.004171428571428572</v>
      </c>
      <c r="AU72" s="81"/>
      <c r="AV72" s="98">
        <v>1.3010252169108294</v>
      </c>
      <c r="AW72" s="98">
        <v>0</v>
      </c>
      <c r="AX72" s="81"/>
      <c r="AY72" s="98">
        <v>1.3010252169108294</v>
      </c>
      <c r="AZ72" s="98">
        <v>0.003085714285714286</v>
      </c>
      <c r="BA72" s="81"/>
      <c r="BB72" s="98">
        <v>1.3010252169108294</v>
      </c>
      <c r="BC72" s="98">
        <v>0.0013675213675213675</v>
      </c>
      <c r="BF72">
        <v>6</v>
      </c>
      <c r="BG72">
        <v>5</v>
      </c>
      <c r="BH72" s="2">
        <v>0.100542967160321</v>
      </c>
      <c r="BI72" s="2">
        <v>0.00199752395667824</v>
      </c>
      <c r="BK72">
        <v>6</v>
      </c>
      <c r="BL72">
        <v>5</v>
      </c>
      <c r="BM72" s="2">
        <v>0.100205500668121</v>
      </c>
      <c r="BN72" s="2">
        <v>0.00160327525601145</v>
      </c>
      <c r="BP72">
        <v>6</v>
      </c>
      <c r="BQ72">
        <v>5</v>
      </c>
      <c r="BR72" s="2">
        <v>0.100110082983439</v>
      </c>
      <c r="BS72" s="2">
        <v>0.00112139396528942</v>
      </c>
      <c r="BV72">
        <v>6</v>
      </c>
      <c r="BW72">
        <v>5</v>
      </c>
      <c r="BX72" s="2">
        <v>0.100119742776575</v>
      </c>
      <c r="BY72" s="2">
        <v>0.00189054059713345</v>
      </c>
    </row>
    <row r="73" spans="2:77" ht="12">
      <c r="B73" s="8"/>
      <c r="C73" s="8"/>
      <c r="D73" s="8"/>
      <c r="E73" s="8"/>
      <c r="F73" s="8"/>
      <c r="G73" s="8"/>
      <c r="M73" s="8"/>
      <c r="N73" s="8"/>
      <c r="AB73" s="13"/>
      <c r="AC73" s="34"/>
      <c r="AD73" s="22"/>
      <c r="AH73" s="98">
        <v>1.3534074769451916</v>
      </c>
      <c r="AI73" s="98">
        <v>0.006857142857142857</v>
      </c>
      <c r="AJ73" s="98">
        <v>0.876712387296865</v>
      </c>
      <c r="AK73" s="98">
        <v>0</v>
      </c>
      <c r="AL73" s="81"/>
      <c r="AM73" s="98">
        <v>1.3534074769451916</v>
      </c>
      <c r="AN73" s="98">
        <v>0</v>
      </c>
      <c r="AO73" s="81"/>
      <c r="AP73" s="98">
        <v>1.3534074769451916</v>
      </c>
      <c r="AQ73" s="98">
        <v>0.003646723646723647</v>
      </c>
      <c r="AR73" s="81"/>
      <c r="AS73" s="98">
        <v>1.3534074769451916</v>
      </c>
      <c r="AT73" s="98">
        <v>0.004171428571428572</v>
      </c>
      <c r="AU73" s="81"/>
      <c r="AV73" s="98">
        <v>1.3534074769451916</v>
      </c>
      <c r="AW73" s="98">
        <v>0.0026780626780626778</v>
      </c>
      <c r="AX73" s="81"/>
      <c r="AY73" s="98">
        <v>1.3534074769451916</v>
      </c>
      <c r="AZ73" s="98">
        <v>0.003085714285714286</v>
      </c>
      <c r="BA73" s="81"/>
      <c r="BB73" s="98">
        <v>1.3534074769451916</v>
      </c>
      <c r="BC73" s="98">
        <v>0.0013675213675213675</v>
      </c>
      <c r="BF73">
        <v>7</v>
      </c>
      <c r="BG73">
        <v>6</v>
      </c>
      <c r="BH73" s="2">
        <v>0.100550508370881</v>
      </c>
      <c r="BI73" s="2">
        <v>0.00203161506071803</v>
      </c>
      <c r="BK73">
        <v>7</v>
      </c>
      <c r="BL73">
        <v>6</v>
      </c>
      <c r="BM73" s="2">
        <v>0.100217588942716</v>
      </c>
      <c r="BN73" s="2">
        <v>0.00178857426814963</v>
      </c>
      <c r="BP73">
        <v>7</v>
      </c>
      <c r="BQ73">
        <v>6</v>
      </c>
      <c r="BR73" s="2">
        <v>0.100110892417141</v>
      </c>
      <c r="BS73" s="2">
        <v>0.00118802238833599</v>
      </c>
      <c r="BV73">
        <v>7</v>
      </c>
      <c r="BW73">
        <v>6</v>
      </c>
      <c r="BX73" s="2">
        <v>0.100126395153051</v>
      </c>
      <c r="BY73" s="2">
        <v>0.0019612677587706</v>
      </c>
    </row>
    <row r="74" spans="2:77" ht="12">
      <c r="B74" s="8"/>
      <c r="C74" s="8"/>
      <c r="D74" s="8"/>
      <c r="E74" s="8"/>
      <c r="F74" s="8"/>
      <c r="G74" s="8"/>
      <c r="M74" s="8"/>
      <c r="N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13"/>
      <c r="AC74" s="34"/>
      <c r="AD74" s="22"/>
      <c r="AH74" s="98">
        <v>1.4078987669434948</v>
      </c>
      <c r="AI74" s="98">
        <v>0.006857142857142857</v>
      </c>
      <c r="AJ74" s="98">
        <v>0.9060305822453343</v>
      </c>
      <c r="AK74" s="98">
        <v>0</v>
      </c>
      <c r="AL74" s="81"/>
      <c r="AM74" s="98">
        <v>1.4078987669434948</v>
      </c>
      <c r="AN74" s="98">
        <v>0</v>
      </c>
      <c r="AO74" s="81"/>
      <c r="AP74" s="98">
        <v>1.4078987669434948</v>
      </c>
      <c r="AQ74" s="98">
        <v>0.003646723646723647</v>
      </c>
      <c r="AR74" s="81"/>
      <c r="AS74" s="98">
        <v>1.4078987669434948</v>
      </c>
      <c r="AT74" s="98">
        <v>0.004171428571428572</v>
      </c>
      <c r="AU74" s="81"/>
      <c r="AV74" s="98">
        <v>1.4078987669434948</v>
      </c>
      <c r="AW74" s="98">
        <v>0.0026780626780626778</v>
      </c>
      <c r="AX74" s="81"/>
      <c r="AY74" s="98">
        <v>1.4078987669434948</v>
      </c>
      <c r="AZ74" s="98">
        <v>0.003085714285714286</v>
      </c>
      <c r="BA74" s="81"/>
      <c r="BB74" s="98">
        <v>1.4078987669434948</v>
      </c>
      <c r="BC74" s="98">
        <v>0.0013675213675213675</v>
      </c>
      <c r="BF74">
        <v>8</v>
      </c>
      <c r="BG74">
        <v>7</v>
      </c>
      <c r="BH74" s="2">
        <v>0.100558049581441</v>
      </c>
      <c r="BI74" s="2">
        <v>0.00205590918118739</v>
      </c>
      <c r="BK74">
        <v>8</v>
      </c>
      <c r="BL74">
        <v>7</v>
      </c>
      <c r="BM74" s="2">
        <v>0.100220611011365</v>
      </c>
      <c r="BN74" s="2">
        <v>0.00180094330104907</v>
      </c>
      <c r="BP74">
        <v>8</v>
      </c>
      <c r="BQ74">
        <v>7</v>
      </c>
      <c r="BR74" s="2">
        <v>0.100111701850843</v>
      </c>
      <c r="BS74" s="2">
        <v>0.00127558967665504</v>
      </c>
      <c r="BV74">
        <v>8</v>
      </c>
      <c r="BW74">
        <v>7</v>
      </c>
      <c r="BX74" s="2">
        <v>0.100129721341289</v>
      </c>
      <c r="BY74" s="2">
        <v>0.0019597102733227</v>
      </c>
    </row>
    <row r="75" spans="2:77" ht="12">
      <c r="B75" s="8"/>
      <c r="C75" s="8"/>
      <c r="D75" s="8"/>
      <c r="E75" s="8"/>
      <c r="F75" s="8"/>
      <c r="G75" s="8"/>
      <c r="M75" s="8"/>
      <c r="N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13"/>
      <c r="AC75" s="34"/>
      <c r="AD75" s="22"/>
      <c r="AH75" s="98">
        <v>1.4645840012906062</v>
      </c>
      <c r="AI75" s="98">
        <v>0.006857142857142857</v>
      </c>
      <c r="AJ75" s="98">
        <v>0.936329208823938</v>
      </c>
      <c r="AK75" s="98">
        <v>0</v>
      </c>
      <c r="AL75" s="81"/>
      <c r="AM75" s="98">
        <v>1.4645840012906062</v>
      </c>
      <c r="AN75" s="98">
        <v>0</v>
      </c>
      <c r="AO75" s="81"/>
      <c r="AP75" s="98">
        <v>1.4645840012906062</v>
      </c>
      <c r="AQ75" s="98">
        <v>0.003646723646723647</v>
      </c>
      <c r="AR75" s="81"/>
      <c r="AS75" s="98">
        <v>1.4645840012906062</v>
      </c>
      <c r="AT75" s="98">
        <v>0.004171428571428572</v>
      </c>
      <c r="AU75" s="81"/>
      <c r="AV75" s="98">
        <v>1.4645840012906062</v>
      </c>
      <c r="AW75" s="98">
        <v>0.0026780626780626778</v>
      </c>
      <c r="AX75" s="81"/>
      <c r="AY75" s="98">
        <v>1.4645840012906062</v>
      </c>
      <c r="AZ75" s="98">
        <v>0.003085714285714286</v>
      </c>
      <c r="BA75" s="81"/>
      <c r="BB75" s="98">
        <v>1.4645840012906062</v>
      </c>
      <c r="BC75" s="98">
        <v>0.0013675213675213675</v>
      </c>
      <c r="BF75">
        <v>9</v>
      </c>
      <c r="BG75">
        <v>8</v>
      </c>
      <c r="BH75" s="2">
        <v>0.100561820186721</v>
      </c>
      <c r="BI75" s="2">
        <v>0.00205355484698195</v>
      </c>
      <c r="BK75">
        <v>9</v>
      </c>
      <c r="BL75">
        <v>8</v>
      </c>
      <c r="BM75" s="2">
        <v>0.100226655148663</v>
      </c>
      <c r="BN75" s="2">
        <v>0.00180824661189478</v>
      </c>
      <c r="BP75">
        <v>9</v>
      </c>
      <c r="BQ75">
        <v>8</v>
      </c>
      <c r="BR75" s="2">
        <v>0.100112106567693</v>
      </c>
      <c r="BS75" s="2">
        <v>0.00128155969894422</v>
      </c>
      <c r="BV75">
        <v>9</v>
      </c>
      <c r="BW75">
        <v>8</v>
      </c>
      <c r="BX75" s="2">
        <v>0.100136373717766</v>
      </c>
      <c r="BY75" s="2">
        <v>0.00196311513654889</v>
      </c>
    </row>
    <row r="76" spans="2:77" ht="12">
      <c r="B76" s="8"/>
      <c r="C76" s="8"/>
      <c r="D76" s="8"/>
      <c r="E76" s="8"/>
      <c r="F76" s="8"/>
      <c r="G76" s="8"/>
      <c r="M76" s="8"/>
      <c r="N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13"/>
      <c r="AC76" s="34"/>
      <c r="AD76" s="22"/>
      <c r="AH76" s="98">
        <v>1.523551513219339</v>
      </c>
      <c r="AI76" s="98">
        <v>0.006857142857142857</v>
      </c>
      <c r="AJ76" s="98">
        <v>0.9676410537094499</v>
      </c>
      <c r="AK76" s="98">
        <v>0</v>
      </c>
      <c r="AL76" s="81"/>
      <c r="AM76" s="98">
        <v>1.523551513219339</v>
      </c>
      <c r="AN76" s="98">
        <v>0</v>
      </c>
      <c r="AO76" s="81"/>
      <c r="AP76" s="98">
        <v>1.523551513219339</v>
      </c>
      <c r="AQ76" s="98">
        <v>0.003646723646723647</v>
      </c>
      <c r="AR76" s="81"/>
      <c r="AS76" s="98">
        <v>1.523551513219339</v>
      </c>
      <c r="AT76" s="98">
        <v>0.004171428571428572</v>
      </c>
      <c r="AU76" s="81"/>
      <c r="AV76" s="98">
        <v>1.523551513219339</v>
      </c>
      <c r="AW76" s="98">
        <v>0.0026780626780626778</v>
      </c>
      <c r="AX76" s="81"/>
      <c r="AY76" s="98">
        <v>1.523551513219339</v>
      </c>
      <c r="AZ76" s="98">
        <v>0.003085714285714286</v>
      </c>
      <c r="BA76" s="81"/>
      <c r="BB76" s="98">
        <v>1.523551513219339</v>
      </c>
      <c r="BC76" s="98">
        <v>0.0013675213675213675</v>
      </c>
      <c r="BF76">
        <v>10</v>
      </c>
      <c r="BG76">
        <v>9</v>
      </c>
      <c r="BH76" s="2">
        <v>0.100569361397281</v>
      </c>
      <c r="BI76" s="2">
        <v>0.00205963500549593</v>
      </c>
      <c r="BK76">
        <v>10</v>
      </c>
      <c r="BL76">
        <v>9</v>
      </c>
      <c r="BM76" s="2">
        <v>0.100238743423258</v>
      </c>
      <c r="BN76" s="2">
        <v>0.00180904613407883</v>
      </c>
      <c r="BP76">
        <v>10</v>
      </c>
      <c r="BQ76">
        <v>9</v>
      </c>
      <c r="BR76" s="2">
        <v>0.100112916001395</v>
      </c>
      <c r="BS76" s="2">
        <v>0.00128777140669447</v>
      </c>
      <c r="BV76">
        <v>10</v>
      </c>
      <c r="BW76">
        <v>9</v>
      </c>
      <c r="BX76" s="2">
        <v>0.100149678470719</v>
      </c>
      <c r="BY76" s="2">
        <v>0.00197160150732904</v>
      </c>
    </row>
    <row r="77" spans="2:77" ht="12">
      <c r="B77" s="8"/>
      <c r="C77" s="8"/>
      <c r="D77" s="8"/>
      <c r="E77" s="8"/>
      <c r="F77" s="8"/>
      <c r="G77" s="8"/>
      <c r="M77" s="8"/>
      <c r="N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13"/>
      <c r="AC77" s="34"/>
      <c r="AD77" s="22"/>
      <c r="AH77" s="98">
        <v>1.5848931924611114</v>
      </c>
      <c r="AI77" s="98">
        <v>0.006857142857142857</v>
      </c>
      <c r="AJ77" s="98">
        <v>0.9999999999999962</v>
      </c>
      <c r="AK77" s="98">
        <v>0</v>
      </c>
      <c r="AL77" s="81"/>
      <c r="AM77" s="98">
        <v>1.5848931924611114</v>
      </c>
      <c r="AN77" s="98">
        <v>0</v>
      </c>
      <c r="AO77" s="81"/>
      <c r="AP77" s="98">
        <v>1.5848931924611114</v>
      </c>
      <c r="AQ77" s="98">
        <v>0.003646723646723647</v>
      </c>
      <c r="AR77" s="81"/>
      <c r="AS77" s="98">
        <v>1.5848931924611114</v>
      </c>
      <c r="AT77" s="98">
        <v>0.004171428571428572</v>
      </c>
      <c r="AU77" s="81"/>
      <c r="AV77" s="98">
        <v>1.5848931924611114</v>
      </c>
      <c r="AW77" s="98">
        <v>0.0026780626780626778</v>
      </c>
      <c r="AX77" s="81"/>
      <c r="AY77" s="98">
        <v>1.5848931924611114</v>
      </c>
      <c r="AZ77" s="98">
        <v>0.003085714285714286</v>
      </c>
      <c r="BA77" s="81"/>
      <c r="BB77" s="98">
        <v>1.5848931924611114</v>
      </c>
      <c r="BC77" s="98">
        <v>0.0013675213675213675</v>
      </c>
      <c r="BF77">
        <v>11</v>
      </c>
      <c r="BG77">
        <v>10</v>
      </c>
      <c r="BH77" s="2">
        <v>0.100584443818401</v>
      </c>
      <c r="BI77" s="2">
        <v>0.00206707528247082</v>
      </c>
      <c r="BK77">
        <v>11</v>
      </c>
      <c r="BL77">
        <v>10</v>
      </c>
      <c r="BM77" s="2">
        <v>0.100262919972449</v>
      </c>
      <c r="BN77" s="2">
        <v>0.00181931558711615</v>
      </c>
      <c r="BP77">
        <v>11</v>
      </c>
      <c r="BQ77">
        <v>10</v>
      </c>
      <c r="BR77" s="2">
        <v>0.100114534868799</v>
      </c>
      <c r="BS77" s="2">
        <v>0.0012881275050289</v>
      </c>
      <c r="BV77">
        <v>11</v>
      </c>
      <c r="BW77">
        <v>10</v>
      </c>
      <c r="BX77" s="2">
        <v>0.100176287976624</v>
      </c>
      <c r="BY77" s="2">
        <v>0.00198326077275998</v>
      </c>
    </row>
    <row r="78" spans="2:77" ht="12.75">
      <c r="B78" s="8"/>
      <c r="C78" s="8"/>
      <c r="D78" s="8"/>
      <c r="E78" s="8"/>
      <c r="F78" s="8"/>
      <c r="G78" s="8"/>
      <c r="M78" s="8"/>
      <c r="N78" s="8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3"/>
      <c r="AC78" s="34"/>
      <c r="AD78" s="22"/>
      <c r="AH78" s="98">
        <v>1.6487046284387419</v>
      </c>
      <c r="AI78" s="98">
        <v>0.006857142857142857</v>
      </c>
      <c r="AJ78" s="98">
        <v>1.0334410638805522</v>
      </c>
      <c r="AK78" s="98">
        <v>0</v>
      </c>
      <c r="AL78" s="81"/>
      <c r="AM78" s="98">
        <v>1.6487046284387419</v>
      </c>
      <c r="AN78" s="98">
        <v>0</v>
      </c>
      <c r="AO78" s="81"/>
      <c r="AP78" s="98">
        <v>1.6487046284387419</v>
      </c>
      <c r="AQ78" s="98">
        <v>0.003646723646723647</v>
      </c>
      <c r="AR78" s="81"/>
      <c r="AS78" s="98">
        <v>1.6487046284387419</v>
      </c>
      <c r="AT78" s="98">
        <v>0.004171428571428572</v>
      </c>
      <c r="AU78" s="81"/>
      <c r="AV78" s="98">
        <v>1.6487046284387419</v>
      </c>
      <c r="AW78" s="98">
        <v>0.0026780626780626778</v>
      </c>
      <c r="AX78" s="81"/>
      <c r="AY78" s="98">
        <v>1.6487046284387419</v>
      </c>
      <c r="AZ78" s="98">
        <v>0.003085714285714286</v>
      </c>
      <c r="BA78" s="81"/>
      <c r="BB78" s="98">
        <v>1.6487046284387419</v>
      </c>
      <c r="BC78" s="98">
        <v>0.0013675213675213675</v>
      </c>
      <c r="BF78">
        <v>12</v>
      </c>
      <c r="BG78">
        <v>11</v>
      </c>
      <c r="BH78" s="2">
        <v>0.100614608660641</v>
      </c>
      <c r="BI78" s="2">
        <v>0.00207668420994043</v>
      </c>
      <c r="BK78">
        <v>12</v>
      </c>
      <c r="BL78">
        <v>11</v>
      </c>
      <c r="BM78" s="2">
        <v>0.10031127307083</v>
      </c>
      <c r="BN78" s="2">
        <v>0.00183891331853437</v>
      </c>
      <c r="BP78">
        <v>12</v>
      </c>
      <c r="BQ78">
        <v>11</v>
      </c>
      <c r="BR78" s="2">
        <v>0.100117772603606</v>
      </c>
      <c r="BS78" s="2">
        <v>0.00128845501880412</v>
      </c>
      <c r="BV78">
        <v>12</v>
      </c>
      <c r="BW78">
        <v>11</v>
      </c>
      <c r="BX78" s="2">
        <v>0.100229506988435</v>
      </c>
      <c r="BY78" s="2">
        <v>0.00200319273174336</v>
      </c>
    </row>
    <row r="79" spans="2:77" ht="12.75">
      <c r="B79" s="8"/>
      <c r="C79" s="8"/>
      <c r="D79" s="8"/>
      <c r="E79" s="8"/>
      <c r="F79" s="8"/>
      <c r="G79" s="8"/>
      <c r="M79" s="8"/>
      <c r="N79" s="8"/>
      <c r="P79" s="12"/>
      <c r="Q79" s="31"/>
      <c r="R79" s="31"/>
      <c r="S79" s="31"/>
      <c r="T79" s="31"/>
      <c r="U79" s="29"/>
      <c r="V79" s="29"/>
      <c r="W79" s="19"/>
      <c r="X79" s="19"/>
      <c r="Y79" s="19"/>
      <c r="Z79" s="19"/>
      <c r="AA79" s="19"/>
      <c r="AB79" s="13"/>
      <c r="AC79" s="34"/>
      <c r="AD79" s="22"/>
      <c r="AH79" s="98">
        <v>1.7150852592245125</v>
      </c>
      <c r="AI79" s="98">
        <v>0.006857142857142857</v>
      </c>
      <c r="AJ79" s="98">
        <v>1.0680004325145718</v>
      </c>
      <c r="AK79" s="98">
        <v>0</v>
      </c>
      <c r="AL79" s="81"/>
      <c r="AM79" s="98">
        <v>1.7150852592245125</v>
      </c>
      <c r="AN79" s="98">
        <v>0</v>
      </c>
      <c r="AO79" s="81"/>
      <c r="AP79" s="98">
        <v>1.7150852592245125</v>
      </c>
      <c r="AQ79" s="98">
        <v>0.003646723646723647</v>
      </c>
      <c r="AR79" s="81"/>
      <c r="AS79" s="98">
        <v>1.7150852592245125</v>
      </c>
      <c r="AT79" s="98">
        <v>0.004171428571428572</v>
      </c>
      <c r="AU79" s="81"/>
      <c r="AV79" s="98">
        <v>1.7150852592245125</v>
      </c>
      <c r="AW79" s="98">
        <v>0.0026780626780626778</v>
      </c>
      <c r="AX79" s="81"/>
      <c r="AY79" s="98">
        <v>1.7150852592245125</v>
      </c>
      <c r="AZ79" s="98">
        <v>0.003085714285714286</v>
      </c>
      <c r="BA79" s="81"/>
      <c r="BB79" s="98">
        <v>1.7150852592245125</v>
      </c>
      <c r="BC79" s="98">
        <v>0.0013675213675213675</v>
      </c>
      <c r="BF79">
        <v>13</v>
      </c>
      <c r="BG79">
        <v>12</v>
      </c>
      <c r="BH79" s="2">
        <v>0.100674938345121</v>
      </c>
      <c r="BI79" s="2">
        <v>0.00209117515862172</v>
      </c>
      <c r="BK79">
        <v>13</v>
      </c>
      <c r="BL79">
        <v>12</v>
      </c>
      <c r="BM79" s="2">
        <v>0.100407979267593</v>
      </c>
      <c r="BN79" s="2">
        <v>0.0018686080285947</v>
      </c>
      <c r="BP79">
        <v>13</v>
      </c>
      <c r="BQ79">
        <v>12</v>
      </c>
      <c r="BR79" s="2">
        <v>0.10012424807322</v>
      </c>
      <c r="BS79" s="2">
        <v>0.00129361814630634</v>
      </c>
      <c r="BV79">
        <v>13</v>
      </c>
      <c r="BW79">
        <v>12</v>
      </c>
      <c r="BX79" s="2">
        <v>0.100282726000246</v>
      </c>
      <c r="BY79" s="2">
        <v>0.00202122459419009</v>
      </c>
    </row>
    <row r="80" spans="2:77" ht="12.75">
      <c r="B80" s="8"/>
      <c r="C80" s="8"/>
      <c r="D80" s="8"/>
      <c r="E80" s="8"/>
      <c r="F80" s="8"/>
      <c r="G80" s="8"/>
      <c r="M80" s="8"/>
      <c r="N80" s="8"/>
      <c r="P80" s="12"/>
      <c r="Q80" s="30"/>
      <c r="R80" s="32"/>
      <c r="S80" s="15"/>
      <c r="T80" s="15"/>
      <c r="U80" s="15"/>
      <c r="V80" s="15"/>
      <c r="W80" s="15"/>
      <c r="X80" s="15"/>
      <c r="Y80" s="15"/>
      <c r="Z80" s="21"/>
      <c r="AA80" s="21"/>
      <c r="AB80" s="13"/>
      <c r="AC80" s="34"/>
      <c r="AD80" s="22"/>
      <c r="AH80" s="98">
        <v>1.7841385264956244</v>
      </c>
      <c r="AI80" s="98">
        <v>0.006857142857142857</v>
      </c>
      <c r="AJ80" s="98">
        <v>1.103715503202753</v>
      </c>
      <c r="AK80" s="98">
        <v>0</v>
      </c>
      <c r="AL80" s="81"/>
      <c r="AM80" s="98">
        <v>1.7841385264956244</v>
      </c>
      <c r="AN80" s="98">
        <v>0</v>
      </c>
      <c r="AO80" s="81"/>
      <c r="AP80" s="98">
        <v>1.7841385264956244</v>
      </c>
      <c r="AQ80" s="98">
        <v>0.003646723646723647</v>
      </c>
      <c r="AR80" s="81"/>
      <c r="AS80" s="98">
        <v>1.7841385264956244</v>
      </c>
      <c r="AT80" s="98">
        <v>0.004171428571428572</v>
      </c>
      <c r="AU80" s="81"/>
      <c r="AV80" s="98">
        <v>1.7841385264956244</v>
      </c>
      <c r="AW80" s="98">
        <v>0.0026780626780626778</v>
      </c>
      <c r="AX80" s="81"/>
      <c r="AY80" s="98">
        <v>1.7841385264956244</v>
      </c>
      <c r="AZ80" s="98">
        <v>0.003085714285714286</v>
      </c>
      <c r="BA80" s="81"/>
      <c r="BB80" s="98">
        <v>1.7841385264956244</v>
      </c>
      <c r="BC80" s="98">
        <v>0.0013675213675213675</v>
      </c>
      <c r="BF80">
        <v>14</v>
      </c>
      <c r="BG80">
        <v>13</v>
      </c>
      <c r="BH80" s="2">
        <v>0.100795597714081</v>
      </c>
      <c r="BI80" s="2">
        <v>0.00212662490511233</v>
      </c>
      <c r="BK80">
        <v>14</v>
      </c>
      <c r="BL80">
        <v>13</v>
      </c>
      <c r="BM80" s="2">
        <v>0.100504685464355</v>
      </c>
      <c r="BN80" s="2">
        <v>0.00189148451959648</v>
      </c>
      <c r="BP80">
        <v>14</v>
      </c>
      <c r="BQ80">
        <v>13</v>
      </c>
      <c r="BR80" s="2">
        <v>0.100137199012448</v>
      </c>
      <c r="BS80" s="2">
        <v>0.00130252458832074</v>
      </c>
      <c r="BV80">
        <v>14</v>
      </c>
      <c r="BW80">
        <v>13</v>
      </c>
      <c r="BX80" s="2">
        <v>0.100389164023868</v>
      </c>
      <c r="BY80" s="2">
        <v>0.00204941206544504</v>
      </c>
    </row>
    <row r="81" spans="2:77" ht="12.75">
      <c r="B81" s="8"/>
      <c r="C81" s="8"/>
      <c r="D81" s="8"/>
      <c r="E81" s="8"/>
      <c r="F81" s="8"/>
      <c r="G81" s="8"/>
      <c r="M81" s="8"/>
      <c r="N81" s="8"/>
      <c r="P81" s="12"/>
      <c r="Q81" s="30"/>
      <c r="R81" s="32"/>
      <c r="S81" s="15"/>
      <c r="T81" s="15"/>
      <c r="U81" s="15"/>
      <c r="V81" s="15"/>
      <c r="W81" s="15"/>
      <c r="X81" s="15"/>
      <c r="Y81" s="15"/>
      <c r="Z81" s="21"/>
      <c r="AA81" s="21"/>
      <c r="AB81" s="19"/>
      <c r="AC81" s="19"/>
      <c r="AD81" s="22"/>
      <c r="AH81" s="98">
        <v>1.8559720367285186</v>
      </c>
      <c r="AI81" s="98">
        <v>0.006857142857142857</v>
      </c>
      <c r="AJ81" s="98">
        <v>1.1406249238513164</v>
      </c>
      <c r="AK81" s="98">
        <v>0</v>
      </c>
      <c r="AL81" s="81"/>
      <c r="AM81" s="98">
        <v>1.8559720367285186</v>
      </c>
      <c r="AN81" s="98">
        <v>0</v>
      </c>
      <c r="AO81" s="81"/>
      <c r="AP81" s="98">
        <v>1.8559720367285186</v>
      </c>
      <c r="AQ81" s="98">
        <v>0.00547008547008547</v>
      </c>
      <c r="AR81" s="81"/>
      <c r="AS81" s="98">
        <v>1.8559720367285186</v>
      </c>
      <c r="AT81" s="98">
        <v>0.004171428571428572</v>
      </c>
      <c r="AU81" s="81"/>
      <c r="AV81" s="98">
        <v>1.8559720367285186</v>
      </c>
      <c r="AW81" s="98">
        <v>0.0026780626780626778</v>
      </c>
      <c r="AX81" s="81"/>
      <c r="AY81" s="98">
        <v>1.8559720367285186</v>
      </c>
      <c r="AZ81" s="98">
        <v>0.003085714285714286</v>
      </c>
      <c r="BA81" s="81"/>
      <c r="BB81" s="98">
        <v>1.8559720367285186</v>
      </c>
      <c r="BC81" s="98">
        <v>0.0013675213675213675</v>
      </c>
      <c r="BF81">
        <v>15</v>
      </c>
      <c r="BG81">
        <v>14</v>
      </c>
      <c r="BH81" s="2">
        <v>0.100916257083041</v>
      </c>
      <c r="BI81" s="2">
        <v>0.00215834749990829</v>
      </c>
      <c r="BK81">
        <v>15</v>
      </c>
      <c r="BL81">
        <v>14</v>
      </c>
      <c r="BM81" s="2">
        <v>0.100698097857881</v>
      </c>
      <c r="BN81" s="2">
        <v>0.00192856532320649</v>
      </c>
      <c r="BP81">
        <v>15</v>
      </c>
      <c r="BQ81">
        <v>14</v>
      </c>
      <c r="BR81" s="2">
        <v>0.100163100890904</v>
      </c>
      <c r="BS81" s="2">
        <v>0.00131606421766357</v>
      </c>
      <c r="BV81">
        <v>15</v>
      </c>
      <c r="BW81">
        <v>14</v>
      </c>
      <c r="BX81" s="2">
        <v>0.10049560204749</v>
      </c>
      <c r="BY81" s="2">
        <v>0.00207295014077945</v>
      </c>
    </row>
    <row r="82" spans="13:77" ht="12">
      <c r="M82" s="8"/>
      <c r="N82" s="8"/>
      <c r="P82" s="8"/>
      <c r="Q82" s="8"/>
      <c r="R82" s="9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34"/>
      <c r="AD82" s="22"/>
      <c r="AH82" s="98">
        <v>1.9306977288832474</v>
      </c>
      <c r="AI82" s="98">
        <v>0.006857142857142857</v>
      </c>
      <c r="AJ82" s="98">
        <v>1.1787686347935828</v>
      </c>
      <c r="AK82" s="98">
        <v>0</v>
      </c>
      <c r="AL82" s="81"/>
      <c r="AM82" s="98">
        <v>1.9306977288832474</v>
      </c>
      <c r="AN82" s="98">
        <v>0</v>
      </c>
      <c r="AO82" s="81"/>
      <c r="AP82" s="98">
        <v>1.9306977288832474</v>
      </c>
      <c r="AQ82" s="98">
        <v>0.00547008547008547</v>
      </c>
      <c r="AR82" s="81"/>
      <c r="AS82" s="98">
        <v>1.9306977288832474</v>
      </c>
      <c r="AT82" s="98">
        <v>0.004171428571428572</v>
      </c>
      <c r="AU82" s="81"/>
      <c r="AV82" s="98">
        <v>1.9306977288832474</v>
      </c>
      <c r="AW82" s="98">
        <v>0.0026780626780626778</v>
      </c>
      <c r="AX82" s="81"/>
      <c r="AY82" s="98">
        <v>1.9306977288832474</v>
      </c>
      <c r="AZ82" s="98">
        <v>0.003085714285714286</v>
      </c>
      <c r="BA82" s="81"/>
      <c r="BB82" s="98">
        <v>1.9306977288832474</v>
      </c>
      <c r="BC82" s="98">
        <v>0.0013675213675213675</v>
      </c>
      <c r="BF82">
        <v>16</v>
      </c>
      <c r="BG82">
        <v>15</v>
      </c>
      <c r="BH82" s="2">
        <v>0.101157575820962</v>
      </c>
      <c r="BI82" s="2">
        <v>0.00220764873895318</v>
      </c>
      <c r="BK82">
        <v>16</v>
      </c>
      <c r="BL82">
        <v>15</v>
      </c>
      <c r="BM82" s="2">
        <v>0.100891510251406</v>
      </c>
      <c r="BN82" s="2">
        <v>0.00196039027802573</v>
      </c>
      <c r="BP82">
        <v>16</v>
      </c>
      <c r="BQ82">
        <v>15</v>
      </c>
      <c r="BR82" s="2">
        <v>0.100214904647817</v>
      </c>
      <c r="BS82" s="2">
        <v>0.00133764472045521</v>
      </c>
      <c r="BV82">
        <v>16</v>
      </c>
      <c r="BW82">
        <v>15</v>
      </c>
      <c r="BX82" s="2">
        <v>0.100708478094734</v>
      </c>
      <c r="BY82" s="2">
        <v>0.00211236004295163</v>
      </c>
    </row>
    <row r="83" spans="13:77" ht="12">
      <c r="M83" s="8"/>
      <c r="N83" s="8"/>
      <c r="P83" s="8"/>
      <c r="Q83" s="8"/>
      <c r="R83" s="9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34"/>
      <c r="AD83" s="22"/>
      <c r="AH83" s="98">
        <v>2.0084320488392042</v>
      </c>
      <c r="AI83" s="98">
        <v>0.006857142857142857</v>
      </c>
      <c r="AJ83" s="98">
        <v>1.2181879120101111</v>
      </c>
      <c r="AK83" s="98">
        <v>0</v>
      </c>
      <c r="AL83" s="81"/>
      <c r="AM83" s="98">
        <v>2.0084320488392042</v>
      </c>
      <c r="AN83" s="98">
        <v>0</v>
      </c>
      <c r="AO83" s="81"/>
      <c r="AP83" s="98">
        <v>2.0084320488392042</v>
      </c>
      <c r="AQ83" s="98">
        <v>0.00547008547008547</v>
      </c>
      <c r="AR83" s="81"/>
      <c r="AS83" s="98">
        <v>2.0084320488392042</v>
      </c>
      <c r="AT83" s="98">
        <v>0.004171428571428572</v>
      </c>
      <c r="AU83" s="81"/>
      <c r="AV83" s="98">
        <v>2.0084320488392042</v>
      </c>
      <c r="AW83" s="98">
        <v>0.0026780626780626778</v>
      </c>
      <c r="AX83" s="81"/>
      <c r="AY83" s="98">
        <v>2.0084320488392042</v>
      </c>
      <c r="AZ83" s="98">
        <v>0.003085714285714286</v>
      </c>
      <c r="BA83" s="81"/>
      <c r="BB83" s="98">
        <v>2.0084320488392042</v>
      </c>
      <c r="BC83" s="98">
        <v>0.0013675213675213675</v>
      </c>
      <c r="BF83">
        <v>17</v>
      </c>
      <c r="BG83">
        <v>16</v>
      </c>
      <c r="BH83" s="2">
        <v>0.101398894558882</v>
      </c>
      <c r="BI83" s="2">
        <v>0.00224730938917206</v>
      </c>
      <c r="BK83">
        <v>17</v>
      </c>
      <c r="BL83">
        <v>16</v>
      </c>
      <c r="BM83" s="2">
        <v>0.101084922644931</v>
      </c>
      <c r="BN83" s="2">
        <v>0.00198909238985404</v>
      </c>
      <c r="BP83">
        <v>17</v>
      </c>
      <c r="BQ83">
        <v>16</v>
      </c>
      <c r="BR83" s="2">
        <v>0.100318512161642</v>
      </c>
      <c r="BS83" s="2">
        <v>0.00137080242237524</v>
      </c>
      <c r="BV83">
        <v>17</v>
      </c>
      <c r="BW83">
        <v>16</v>
      </c>
      <c r="BX83" s="2">
        <v>0.100921354141979</v>
      </c>
      <c r="BY83" s="2">
        <v>0.00214768649879789</v>
      </c>
    </row>
    <row r="84" spans="13:77" ht="12">
      <c r="M84" s="8"/>
      <c r="N84" s="8"/>
      <c r="P84" s="8"/>
      <c r="Q84" s="8"/>
      <c r="R84" s="9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34"/>
      <c r="AD84" s="22"/>
      <c r="AH84" s="98">
        <v>2.089296130854036</v>
      </c>
      <c r="AI84" s="98">
        <v>0.006857142857142857</v>
      </c>
      <c r="AJ84" s="98">
        <v>1.2589254117941624</v>
      </c>
      <c r="AK84" s="98">
        <v>0</v>
      </c>
      <c r="AL84" s="81"/>
      <c r="AM84" s="98">
        <v>2.089296130854036</v>
      </c>
      <c r="AN84" s="98">
        <v>0</v>
      </c>
      <c r="AO84" s="81"/>
      <c r="AP84" s="98">
        <v>2.089296130854036</v>
      </c>
      <c r="AQ84" s="98">
        <v>0.00547008547008547</v>
      </c>
      <c r="AR84" s="81"/>
      <c r="AS84" s="98">
        <v>2.089296130854036</v>
      </c>
      <c r="AT84" s="98">
        <v>0.004171428571428572</v>
      </c>
      <c r="AU84" s="81"/>
      <c r="AV84" s="98">
        <v>2.089296130854036</v>
      </c>
      <c r="AW84" s="98">
        <v>0.0026780626780626778</v>
      </c>
      <c r="AX84" s="81"/>
      <c r="AY84" s="98">
        <v>2.089296130854036</v>
      </c>
      <c r="AZ84" s="98">
        <v>0.003085714285714286</v>
      </c>
      <c r="BA84" s="81"/>
      <c r="BB84" s="98">
        <v>2.089296130854036</v>
      </c>
      <c r="BC84" s="98">
        <v>0.0013675213675213675</v>
      </c>
      <c r="BF84">
        <v>18</v>
      </c>
      <c r="BG84">
        <v>17</v>
      </c>
      <c r="BH84" s="2">
        <v>0.101881532034723</v>
      </c>
      <c r="BI84" s="2">
        <v>0.00232290092133289</v>
      </c>
      <c r="BK84">
        <v>18</v>
      </c>
      <c r="BL84">
        <v>17</v>
      </c>
      <c r="BM84" s="2">
        <v>0.101471747431982</v>
      </c>
      <c r="BN84" s="2">
        <v>0.00204703172989935</v>
      </c>
      <c r="BP84">
        <v>18</v>
      </c>
      <c r="BQ84">
        <v>17</v>
      </c>
      <c r="BR84" s="2">
        <v>0.100422119675467</v>
      </c>
      <c r="BS84" s="2">
        <v>0.00139561607857343</v>
      </c>
      <c r="BV84">
        <v>18</v>
      </c>
      <c r="BW84">
        <v>17</v>
      </c>
      <c r="BX84" s="2">
        <v>0.101134230189223</v>
      </c>
      <c r="BY84" s="2">
        <v>0.00217947955076823</v>
      </c>
    </row>
    <row r="85" spans="13:77" ht="12">
      <c r="M85" s="8"/>
      <c r="N85" s="8"/>
      <c r="P85" s="8"/>
      <c r="Q85" s="8"/>
      <c r="R85" s="9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34"/>
      <c r="AD85" s="22"/>
      <c r="AH85" s="98">
        <v>2.1734159863285085</v>
      </c>
      <c r="AI85" s="98">
        <v>0.006857142857142857</v>
      </c>
      <c r="AJ85" s="98">
        <v>1.3010252169108265</v>
      </c>
      <c r="AK85" s="98">
        <v>0</v>
      </c>
      <c r="AL85" s="81"/>
      <c r="AM85" s="98">
        <v>2.1734159863285085</v>
      </c>
      <c r="AN85" s="98">
        <v>0</v>
      </c>
      <c r="AO85" s="81"/>
      <c r="AP85" s="98">
        <v>2.1734159863285085</v>
      </c>
      <c r="AQ85" s="98">
        <v>0.00547008547008547</v>
      </c>
      <c r="AR85" s="81"/>
      <c r="AS85" s="98">
        <v>2.1734159863285085</v>
      </c>
      <c r="AT85" s="98">
        <v>0.004171428571428572</v>
      </c>
      <c r="AU85" s="81"/>
      <c r="AV85" s="98">
        <v>2.1734159863285085</v>
      </c>
      <c r="AW85" s="98">
        <v>0.0026780626780626778</v>
      </c>
      <c r="AX85" s="81"/>
      <c r="AY85" s="98">
        <v>2.1734159863285085</v>
      </c>
      <c r="AZ85" s="98">
        <v>0.003085714285714286</v>
      </c>
      <c r="BA85" s="81"/>
      <c r="BB85" s="98">
        <v>2.1734159863285085</v>
      </c>
      <c r="BC85" s="98">
        <v>0.0013675213675213675</v>
      </c>
      <c r="BF85">
        <v>19</v>
      </c>
      <c r="BG85">
        <v>18</v>
      </c>
      <c r="BH85" s="2">
        <v>0.102364169510563</v>
      </c>
      <c r="BI85" s="2">
        <v>0.00239000780613637</v>
      </c>
      <c r="BK85">
        <v>19</v>
      </c>
      <c r="BL85">
        <v>18</v>
      </c>
      <c r="BM85" s="2">
        <v>0.101858572219032</v>
      </c>
      <c r="BN85" s="2">
        <v>0.0020991832258883</v>
      </c>
      <c r="BP85">
        <v>19</v>
      </c>
      <c r="BQ85">
        <v>18</v>
      </c>
      <c r="BR85" s="2">
        <v>0.100629334703117</v>
      </c>
      <c r="BS85" s="2">
        <v>0.00143427023605068</v>
      </c>
      <c r="BV85">
        <v>19</v>
      </c>
      <c r="BW85">
        <v>18</v>
      </c>
      <c r="BX85" s="2">
        <v>0.101559982283711</v>
      </c>
      <c r="BY85" s="2">
        <v>0.0022411628387237</v>
      </c>
    </row>
    <row r="86" spans="13:77" ht="12">
      <c r="M86" s="8"/>
      <c r="N86" s="8"/>
      <c r="P86" s="8"/>
      <c r="Q86" s="8"/>
      <c r="R86" s="9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34"/>
      <c r="AD86" s="22"/>
      <c r="AH86" s="98">
        <v>2.2609227001714753</v>
      </c>
      <c r="AI86" s="98">
        <v>0.006857142857142857</v>
      </c>
      <c r="AJ86" s="98">
        <v>1.344532884299756</v>
      </c>
      <c r="AK86" s="98">
        <v>0</v>
      </c>
      <c r="AL86" s="81"/>
      <c r="AM86" s="98">
        <v>2.2609227001714753</v>
      </c>
      <c r="AN86" s="98">
        <v>0</v>
      </c>
      <c r="AO86" s="81"/>
      <c r="AP86" s="98">
        <v>2.2609227001714753</v>
      </c>
      <c r="AQ86" s="98">
        <v>0.00547008547008547</v>
      </c>
      <c r="AR86" s="81"/>
      <c r="AS86" s="98">
        <v>2.2609227001714753</v>
      </c>
      <c r="AT86" s="98">
        <v>0.004171428571428572</v>
      </c>
      <c r="AU86" s="81"/>
      <c r="AV86" s="98">
        <v>2.2609227001714753</v>
      </c>
      <c r="AW86" s="98">
        <v>0.0026780626780626778</v>
      </c>
      <c r="AX86" s="81"/>
      <c r="AY86" s="98">
        <v>2.2609227001714753</v>
      </c>
      <c r="AZ86" s="98">
        <v>0.003085714285714286</v>
      </c>
      <c r="BA86" s="81"/>
      <c r="BB86" s="98">
        <v>2.2609227001714753</v>
      </c>
      <c r="BC86" s="98">
        <v>0.0013675213675213675</v>
      </c>
      <c r="BF86">
        <v>20</v>
      </c>
      <c r="BG86">
        <v>19</v>
      </c>
      <c r="BH86" s="2">
        <v>0.103329444462245</v>
      </c>
      <c r="BI86" s="2">
        <v>0.00250584899479994</v>
      </c>
      <c r="BK86">
        <v>20</v>
      </c>
      <c r="BL86">
        <v>19</v>
      </c>
      <c r="BM86" s="2">
        <v>0.102632221793134</v>
      </c>
      <c r="BN86" s="2">
        <v>0.00218924966143041</v>
      </c>
      <c r="BP86">
        <v>20</v>
      </c>
      <c r="BQ86">
        <v>19</v>
      </c>
      <c r="BR86" s="2">
        <v>0.100836549730767</v>
      </c>
      <c r="BS86" s="2">
        <v>0.00146421001354133</v>
      </c>
      <c r="BV86">
        <v>20</v>
      </c>
      <c r="BW86">
        <v>19</v>
      </c>
      <c r="BX86" s="2">
        <v>0.101985734378199</v>
      </c>
      <c r="BY86" s="2">
        <v>0.00229612702328516</v>
      </c>
    </row>
    <row r="87" spans="2:77" ht="12">
      <c r="B87" s="8"/>
      <c r="C87" s="8"/>
      <c r="D87" s="8"/>
      <c r="E87" s="8"/>
      <c r="F87" s="8"/>
      <c r="G87" s="8"/>
      <c r="M87" s="8"/>
      <c r="N87" s="8"/>
      <c r="P87" s="8"/>
      <c r="Q87" s="8"/>
      <c r="R87" s="9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34"/>
      <c r="AD87" s="22"/>
      <c r="AH87" s="98">
        <v>2.3519526350709548</v>
      </c>
      <c r="AI87" s="98">
        <v>0.006857142857142857</v>
      </c>
      <c r="AJ87" s="98">
        <v>1.3894954943731324</v>
      </c>
      <c r="AK87" s="98">
        <v>0.005071225071225071</v>
      </c>
      <c r="AL87" s="81"/>
      <c r="AM87" s="98">
        <v>2.3519526350709548</v>
      </c>
      <c r="AN87" s="98">
        <v>0</v>
      </c>
      <c r="AO87" s="81"/>
      <c r="AP87" s="98">
        <v>2.3519526350709548</v>
      </c>
      <c r="AQ87" s="98">
        <v>0.00547008547008547</v>
      </c>
      <c r="AR87" s="81"/>
      <c r="AS87" s="98">
        <v>2.3519526350709548</v>
      </c>
      <c r="AT87" s="98">
        <v>0.004171428571428572</v>
      </c>
      <c r="AU87" s="81"/>
      <c r="AV87" s="98">
        <v>2.3519526350709548</v>
      </c>
      <c r="AW87" s="98">
        <v>0.004017094017094017</v>
      </c>
      <c r="AX87" s="81"/>
      <c r="AY87" s="98">
        <v>2.3519526350709548</v>
      </c>
      <c r="AZ87" s="98">
        <v>0.004114285714285714</v>
      </c>
      <c r="BA87" s="81"/>
      <c r="BB87" s="98">
        <v>2.3519526350709548</v>
      </c>
      <c r="BC87" s="98">
        <v>0.0020512820512820513</v>
      </c>
      <c r="BF87">
        <v>21</v>
      </c>
      <c r="BG87">
        <v>20</v>
      </c>
      <c r="BH87" s="2">
        <v>0.105259994365607</v>
      </c>
      <c r="BI87" s="2">
        <v>0.00270840942498432</v>
      </c>
      <c r="BK87">
        <v>21</v>
      </c>
      <c r="BL87">
        <v>20</v>
      </c>
      <c r="BM87" s="2">
        <v>0.103405871367235</v>
      </c>
      <c r="BN87" s="2">
        <v>0.00226838030460881</v>
      </c>
      <c r="BP87">
        <v>21</v>
      </c>
      <c r="BQ87">
        <v>20</v>
      </c>
      <c r="BR87" s="2">
        <v>0.101043764758417</v>
      </c>
      <c r="BS87" s="2">
        <v>0.00149057765822373</v>
      </c>
      <c r="BV87">
        <v>21</v>
      </c>
      <c r="BW87">
        <v>20</v>
      </c>
      <c r="BX87" s="2">
        <v>0.102837238567176</v>
      </c>
      <c r="BY87" s="2">
        <v>0.00239110144962174</v>
      </c>
    </row>
    <row r="88" spans="13:77" ht="12">
      <c r="M88" s="8"/>
      <c r="N88" s="8"/>
      <c r="P88" s="8"/>
      <c r="Q88" s="8"/>
      <c r="R88" s="9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34"/>
      <c r="AD88" s="22"/>
      <c r="AH88" s="98">
        <v>2.4466476439896283</v>
      </c>
      <c r="AI88" s="98">
        <v>0.006857142857142857</v>
      </c>
      <c r="AJ88" s="98">
        <v>1.4359617019622093</v>
      </c>
      <c r="AK88" s="98">
        <v>0.005071225071225071</v>
      </c>
      <c r="AL88" s="81"/>
      <c r="AM88" s="98">
        <v>2.4466476439896283</v>
      </c>
      <c r="AN88" s="98">
        <v>0</v>
      </c>
      <c r="AO88" s="81"/>
      <c r="AP88" s="98">
        <v>2.4466476439896283</v>
      </c>
      <c r="AQ88" s="98">
        <v>0.00547008547008547</v>
      </c>
      <c r="AR88" s="81"/>
      <c r="AS88" s="98">
        <v>2.4466476439896283</v>
      </c>
      <c r="AT88" s="98">
        <v>0.004171428571428572</v>
      </c>
      <c r="AU88" s="81"/>
      <c r="AV88" s="98">
        <v>2.4466476439896283</v>
      </c>
      <c r="AW88" s="98">
        <v>0.004017094017094017</v>
      </c>
      <c r="AX88" s="81"/>
      <c r="AY88" s="98">
        <v>2.4466476439896283</v>
      </c>
      <c r="AZ88" s="98">
        <v>0.004114285714285714</v>
      </c>
      <c r="BA88" s="81"/>
      <c r="BB88" s="98">
        <v>2.4466476439896283</v>
      </c>
      <c r="BC88" s="98">
        <v>0.0020512820512820513</v>
      </c>
      <c r="BF88">
        <v>22</v>
      </c>
      <c r="BG88">
        <v>21</v>
      </c>
      <c r="BH88" s="2">
        <v>0.106225269317289</v>
      </c>
      <c r="BI88" s="2">
        <v>0.00280443222674302</v>
      </c>
      <c r="BK88">
        <v>22</v>
      </c>
      <c r="BL88">
        <v>21</v>
      </c>
      <c r="BM88" s="2">
        <v>0.104953170515438</v>
      </c>
      <c r="BN88" s="2">
        <v>0.0024157574009472</v>
      </c>
      <c r="BP88">
        <v>22</v>
      </c>
      <c r="BQ88">
        <v>21</v>
      </c>
      <c r="BR88" s="2">
        <v>0.101458194813717</v>
      </c>
      <c r="BS88" s="2">
        <v>0.0015405353401515</v>
      </c>
      <c r="BV88">
        <v>22</v>
      </c>
      <c r="BW88">
        <v>21</v>
      </c>
      <c r="BX88" s="2">
        <v>0.103688742756153</v>
      </c>
      <c r="BY88" s="2">
        <v>0.00247645776050719</v>
      </c>
    </row>
    <row r="89" spans="13:77" ht="12">
      <c r="M89" s="8"/>
      <c r="N89" s="8"/>
      <c r="P89" s="8"/>
      <c r="Q89" s="8"/>
      <c r="R89" s="9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34"/>
      <c r="AD89" s="22"/>
      <c r="AH89" s="98">
        <v>2.5451552912158912</v>
      </c>
      <c r="AI89" s="98">
        <v>0.010285714285714285</v>
      </c>
      <c r="AJ89" s="98">
        <v>1.4839817889675597</v>
      </c>
      <c r="AK89" s="98">
        <v>0.005071225071225071</v>
      </c>
      <c r="AL89" s="81"/>
      <c r="AM89" s="98">
        <v>2.5451552912158912</v>
      </c>
      <c r="AN89" s="98">
        <v>0.0052</v>
      </c>
      <c r="AO89" s="81"/>
      <c r="AP89" s="98">
        <v>2.5451552912158912</v>
      </c>
      <c r="AQ89" s="98">
        <v>0.00547008547008547</v>
      </c>
      <c r="AR89" s="81"/>
      <c r="AS89" s="98">
        <v>2.5451552912158912</v>
      </c>
      <c r="AT89" s="98">
        <v>0.006257142857142857</v>
      </c>
      <c r="AU89" s="81"/>
      <c r="AV89" s="98">
        <v>2.5451552912158912</v>
      </c>
      <c r="AW89" s="98">
        <v>0.004017094017094017</v>
      </c>
      <c r="AX89" s="81"/>
      <c r="AY89" s="98">
        <v>2.5451552912158912</v>
      </c>
      <c r="AZ89" s="98">
        <v>0.004114285714285714</v>
      </c>
      <c r="BA89" s="81"/>
      <c r="BB89" s="98">
        <v>2.5451552912158912</v>
      </c>
      <c r="BC89" s="98">
        <v>0.0020512820512820513</v>
      </c>
      <c r="BF89">
        <v>23</v>
      </c>
      <c r="BG89">
        <v>22</v>
      </c>
      <c r="BH89" s="2">
        <v>0.108155819220651</v>
      </c>
      <c r="BI89" s="2">
        <v>0.00298341834541192</v>
      </c>
      <c r="BK89">
        <v>23</v>
      </c>
      <c r="BL89">
        <v>22</v>
      </c>
      <c r="BM89" s="2">
        <v>0.108047768811843</v>
      </c>
      <c r="BN89" s="2">
        <v>0.00268204588433791</v>
      </c>
      <c r="BP89">
        <v>23</v>
      </c>
      <c r="BQ89">
        <v>22</v>
      </c>
      <c r="BR89" s="2">
        <v>0.101872624869017</v>
      </c>
      <c r="BS89" s="2">
        <v>0.00158685172241889</v>
      </c>
      <c r="BV89">
        <v>23</v>
      </c>
      <c r="BW89">
        <v>22</v>
      </c>
      <c r="BX89" s="2">
        <v>0.105391751134106</v>
      </c>
      <c r="BY89" s="2">
        <v>0.00263552015390122</v>
      </c>
    </row>
    <row r="90" spans="13:77" ht="12">
      <c r="M90" s="8"/>
      <c r="N90" s="8"/>
      <c r="P90" s="8"/>
      <c r="Q90" s="8"/>
      <c r="R90" s="9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34"/>
      <c r="AD90" s="22"/>
      <c r="AH90" s="98">
        <v>2.647629082314931</v>
      </c>
      <c r="AI90" s="98">
        <v>0.010285714285714285</v>
      </c>
      <c r="AJ90" s="98">
        <v>1.533607718770006</v>
      </c>
      <c r="AK90" s="98">
        <v>0.005071225071225071</v>
      </c>
      <c r="AL90" s="81"/>
      <c r="AM90" s="98">
        <v>2.647629082314931</v>
      </c>
      <c r="AN90" s="98">
        <v>0.0052</v>
      </c>
      <c r="AO90" s="81"/>
      <c r="AP90" s="98">
        <v>2.647629082314931</v>
      </c>
      <c r="AQ90" s="98">
        <v>0.00547008547008547</v>
      </c>
      <c r="AR90" s="81"/>
      <c r="AS90" s="98">
        <v>2.647629082314931</v>
      </c>
      <c r="AT90" s="98">
        <v>0.006257142857142857</v>
      </c>
      <c r="AU90" s="81"/>
      <c r="AV90" s="98">
        <v>2.647629082314931</v>
      </c>
      <c r="AW90" s="98">
        <v>0.004017094017094017</v>
      </c>
      <c r="AX90" s="81"/>
      <c r="AY90" s="98">
        <v>2.647629082314931</v>
      </c>
      <c r="AZ90" s="98">
        <v>0.004114285714285714</v>
      </c>
      <c r="BA90" s="81"/>
      <c r="BB90" s="98">
        <v>2.647629082314931</v>
      </c>
      <c r="BC90" s="98">
        <v>0.0020512820512820513</v>
      </c>
      <c r="BF90">
        <v>24</v>
      </c>
      <c r="BG90">
        <v>23</v>
      </c>
      <c r="BH90" s="2">
        <v>0.112016919027377</v>
      </c>
      <c r="BI90" s="2">
        <v>0.00329135853820702</v>
      </c>
      <c r="BK90">
        <v>24</v>
      </c>
      <c r="BL90">
        <v>23</v>
      </c>
      <c r="BM90" s="2">
        <v>0.114236965404654</v>
      </c>
      <c r="BN90" s="2">
        <v>0.00310169124580347</v>
      </c>
      <c r="BP90">
        <v>24</v>
      </c>
      <c r="BQ90">
        <v>23</v>
      </c>
      <c r="BR90" s="2">
        <v>0.102287054924317</v>
      </c>
      <c r="BS90" s="2">
        <v>0.00162933609599953</v>
      </c>
      <c r="BV90">
        <v>24</v>
      </c>
      <c r="BW90">
        <v>23</v>
      </c>
      <c r="BX90" s="2">
        <v>0.108797767890012</v>
      </c>
      <c r="BY90" s="2">
        <v>0.00291981805163343</v>
      </c>
    </row>
    <row r="91" spans="1:77" ht="12.75">
      <c r="A91" s="24" t="s">
        <v>24</v>
      </c>
      <c r="B91" s="10"/>
      <c r="C91" s="10"/>
      <c r="D91" s="10"/>
      <c r="E91" s="16"/>
      <c r="F91" s="35"/>
      <c r="G91" s="36"/>
      <c r="H91" s="16"/>
      <c r="I91" s="16"/>
      <c r="M91" s="8"/>
      <c r="N91" s="8"/>
      <c r="P91" s="8"/>
      <c r="Q91" s="8"/>
      <c r="R91" s="9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34"/>
      <c r="AD91" s="22"/>
      <c r="AH91" s="98">
        <v>2.7542287033381614</v>
      </c>
      <c r="AI91" s="98">
        <v>0.010285714285714285</v>
      </c>
      <c r="AJ91" s="98">
        <v>1.5848931924611076</v>
      </c>
      <c r="AK91" s="98">
        <v>0.005071225071225071</v>
      </c>
      <c r="AL91" s="81"/>
      <c r="AM91" s="98">
        <v>2.7542287033381614</v>
      </c>
      <c r="AN91" s="98">
        <v>0.0052</v>
      </c>
      <c r="AO91" s="81"/>
      <c r="AP91" s="98">
        <v>2.7542287033381614</v>
      </c>
      <c r="AQ91" s="98">
        <v>0.00547008547008547</v>
      </c>
      <c r="AR91" s="81"/>
      <c r="AS91" s="98">
        <v>2.7542287033381614</v>
      </c>
      <c r="AT91" s="98">
        <v>0.006257142857142857</v>
      </c>
      <c r="AU91" s="81"/>
      <c r="AV91" s="98">
        <v>2.7542287033381614</v>
      </c>
      <c r="AW91" s="98">
        <v>0.004017094017094017</v>
      </c>
      <c r="AX91" s="81"/>
      <c r="AY91" s="98">
        <v>2.7542287033381614</v>
      </c>
      <c r="AZ91" s="98">
        <v>0.0051428571428571435</v>
      </c>
      <c r="BA91" s="81"/>
      <c r="BB91" s="98">
        <v>2.7542287033381614</v>
      </c>
      <c r="BC91" s="98">
        <v>0.002735042735042735</v>
      </c>
      <c r="BF91">
        <v>25</v>
      </c>
      <c r="BG91">
        <v>24</v>
      </c>
      <c r="BH91" s="2">
        <v>0.119739118640827</v>
      </c>
      <c r="BI91" s="2">
        <v>0.00374811625098282</v>
      </c>
      <c r="BK91">
        <v>25</v>
      </c>
      <c r="BL91">
        <v>24</v>
      </c>
      <c r="BM91" s="2">
        <v>0.120426161997464</v>
      </c>
      <c r="BN91" s="2">
        <v>0.00343818600079937</v>
      </c>
      <c r="BP91">
        <v>25</v>
      </c>
      <c r="BQ91">
        <v>24</v>
      </c>
      <c r="BR91" s="2">
        <v>0.103115915034917</v>
      </c>
      <c r="BS91" s="2">
        <v>0.00170691928766463</v>
      </c>
      <c r="BV91">
        <v>25</v>
      </c>
      <c r="BW91">
        <v>24</v>
      </c>
      <c r="BX91" s="2">
        <v>0.115609801401825</v>
      </c>
      <c r="BY91" s="2">
        <v>0.00335951975652234</v>
      </c>
    </row>
    <row r="92" spans="1:77" ht="29.25">
      <c r="A92" s="6"/>
      <c r="B92" s="23" t="s">
        <v>14</v>
      </c>
      <c r="C92" s="66" t="s">
        <v>65</v>
      </c>
      <c r="D92" s="66" t="s">
        <v>66</v>
      </c>
      <c r="E92" s="66" t="s">
        <v>68</v>
      </c>
      <c r="F92" s="67" t="s">
        <v>64</v>
      </c>
      <c r="G92" s="66" t="s">
        <v>63</v>
      </c>
      <c r="H92" s="27" t="s">
        <v>62</v>
      </c>
      <c r="I92" s="27" t="s">
        <v>61</v>
      </c>
      <c r="M92" s="8"/>
      <c r="N92" s="8"/>
      <c r="P92" s="8"/>
      <c r="Q92" s="8"/>
      <c r="R92" s="9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34"/>
      <c r="AD92" s="22"/>
      <c r="AH92" s="98">
        <v>2.865120269663776</v>
      </c>
      <c r="AI92" s="98">
        <v>0.010285714285714285</v>
      </c>
      <c r="AJ92" s="98">
        <v>1.637893706954058</v>
      </c>
      <c r="AK92" s="98">
        <v>0.005071225071225071</v>
      </c>
      <c r="AL92" s="81"/>
      <c r="AM92" s="98">
        <v>2.865120269663776</v>
      </c>
      <c r="AN92" s="98">
        <v>0.0052</v>
      </c>
      <c r="AO92" s="81"/>
      <c r="AP92" s="98">
        <v>2.865120269663776</v>
      </c>
      <c r="AQ92" s="98">
        <v>0.00547008547008547</v>
      </c>
      <c r="AR92" s="81"/>
      <c r="AS92" s="98">
        <v>2.865120269663776</v>
      </c>
      <c r="AT92" s="98">
        <v>0.006257142857142857</v>
      </c>
      <c r="AU92" s="81"/>
      <c r="AV92" s="98">
        <v>2.865120269663776</v>
      </c>
      <c r="AW92" s="98">
        <v>0.004017094017094017</v>
      </c>
      <c r="AX92" s="81"/>
      <c r="AY92" s="98">
        <v>2.865120269663776</v>
      </c>
      <c r="AZ92" s="98">
        <v>0.0051428571428571435</v>
      </c>
      <c r="BA92" s="81"/>
      <c r="BB92" s="98">
        <v>2.865120269663776</v>
      </c>
      <c r="BC92" s="98">
        <v>0.002735042735042735</v>
      </c>
      <c r="BF92">
        <v>26</v>
      </c>
      <c r="BG92">
        <v>25</v>
      </c>
      <c r="BH92" s="2">
        <v>0.127461318254278</v>
      </c>
      <c r="BI92" s="2">
        <v>0.00410369666903183</v>
      </c>
      <c r="BK92">
        <v>26</v>
      </c>
      <c r="BL92">
        <v>25</v>
      </c>
      <c r="BM92" s="2">
        <v>0.126615358590275</v>
      </c>
      <c r="BN92" s="2">
        <v>0.00371612614935751</v>
      </c>
      <c r="BP92">
        <v>26</v>
      </c>
      <c r="BQ92">
        <v>25</v>
      </c>
      <c r="BR92" s="2">
        <v>0.104773635256117</v>
      </c>
      <c r="BS92" s="2">
        <v>0.00184937622924435</v>
      </c>
      <c r="BV92">
        <v>26</v>
      </c>
      <c r="BW92">
        <v>25</v>
      </c>
      <c r="BX92" s="2">
        <v>0.122421834913638</v>
      </c>
      <c r="BY92" s="2">
        <v>0.00370898339045311</v>
      </c>
    </row>
    <row r="93" spans="1:77" ht="12">
      <c r="A93" s="6"/>
      <c r="B93" s="6">
        <v>2</v>
      </c>
      <c r="C93" s="7">
        <f>(15-9.81)*B93</f>
        <v>10.379999999999999</v>
      </c>
      <c r="D93" s="6">
        <f>C93+20</f>
        <v>30.38</v>
      </c>
      <c r="E93" s="17">
        <f>C93*1.5</f>
        <v>15.569999999999999</v>
      </c>
      <c r="F93" s="71">
        <f>$A$9/$G$7*LOG(E93/C93)</f>
        <v>0.004403351074054666</v>
      </c>
      <c r="G93" s="71">
        <f>$B$9/$G$7*LOG((D93)/E93)</f>
        <v>0.11630830096997925</v>
      </c>
      <c r="H93" s="17">
        <f>G95/20</f>
        <v>0.006035582602201696</v>
      </c>
      <c r="I93" s="18">
        <f>$E$7/9.81/H93</f>
        <v>0.0032103192129161948</v>
      </c>
      <c r="M93" s="8"/>
      <c r="N93" s="8"/>
      <c r="P93" s="8"/>
      <c r="Q93" s="8"/>
      <c r="R93" s="9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34"/>
      <c r="AD93" s="22"/>
      <c r="AH93" s="98">
        <v>2.9804765848561936</v>
      </c>
      <c r="AI93" s="98">
        <v>0.010285714285714285</v>
      </c>
      <c r="AJ93" s="98">
        <v>1.6926666150378697</v>
      </c>
      <c r="AK93" s="98">
        <v>0.005071225071225071</v>
      </c>
      <c r="AL93" s="81"/>
      <c r="AM93" s="98">
        <v>2.9804765848561936</v>
      </c>
      <c r="AN93" s="98">
        <v>0.0052</v>
      </c>
      <c r="AO93" s="81"/>
      <c r="AP93" s="98">
        <v>2.9804765848561936</v>
      </c>
      <c r="AQ93" s="98">
        <v>0.00547008547008547</v>
      </c>
      <c r="AR93" s="81"/>
      <c r="AS93" s="98">
        <v>2.9804765848561936</v>
      </c>
      <c r="AT93" s="98">
        <v>0.006257142857142857</v>
      </c>
      <c r="AU93" s="81"/>
      <c r="AV93" s="98">
        <v>2.9804765848561936</v>
      </c>
      <c r="AW93" s="98">
        <v>0.004017094017094017</v>
      </c>
      <c r="AX93" s="81"/>
      <c r="AY93" s="98">
        <v>2.9804765848561936</v>
      </c>
      <c r="AZ93" s="98">
        <v>0.0051428571428571435</v>
      </c>
      <c r="BA93" s="81"/>
      <c r="BB93" s="98">
        <v>2.9804765848561936</v>
      </c>
      <c r="BC93" s="98">
        <v>0.002735042735042735</v>
      </c>
      <c r="BF93">
        <v>27</v>
      </c>
      <c r="BG93">
        <v>26</v>
      </c>
      <c r="BH93" s="2">
        <v>0.135183517867728</v>
      </c>
      <c r="BI93" s="2">
        <v>0.00439239905659696</v>
      </c>
      <c r="BK93">
        <v>27</v>
      </c>
      <c r="BL93">
        <v>26</v>
      </c>
      <c r="BM93" s="2">
        <v>0.138993751775896</v>
      </c>
      <c r="BN93" s="2">
        <v>0.004133341768753</v>
      </c>
      <c r="BP93">
        <v>27</v>
      </c>
      <c r="BQ93">
        <v>26</v>
      </c>
      <c r="BR93" s="2">
        <v>0.106431355477318</v>
      </c>
      <c r="BS93" s="2">
        <v>0.00198583796689967</v>
      </c>
      <c r="BV93">
        <v>27</v>
      </c>
      <c r="BW93">
        <v>26</v>
      </c>
      <c r="BX93" s="2">
        <v>0.136045901937264</v>
      </c>
      <c r="BY93" s="2">
        <v>0.00421704081850587</v>
      </c>
    </row>
    <row r="94" spans="6:77" ht="12">
      <c r="F94" s="72">
        <f>SUM(F93:F93)</f>
        <v>0.004403351074054666</v>
      </c>
      <c r="G94" s="72">
        <f>SUM(G93:G93)/1</f>
        <v>0.11630830096997925</v>
      </c>
      <c r="H94" s="6"/>
      <c r="M94" s="8"/>
      <c r="N94" s="8"/>
      <c r="P94" s="8"/>
      <c r="Q94" s="8"/>
      <c r="R94" s="9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34"/>
      <c r="AD94" s="22"/>
      <c r="AH94" s="98">
        <v>3.100477409947784</v>
      </c>
      <c r="AI94" s="98">
        <v>0.010285714285714285</v>
      </c>
      <c r="AJ94" s="98">
        <v>1.749271187439836</v>
      </c>
      <c r="AK94" s="98">
        <v>0.005071225071225071</v>
      </c>
      <c r="AL94" s="81"/>
      <c r="AM94" s="98">
        <v>3.100477409947784</v>
      </c>
      <c r="AN94" s="98">
        <v>0.0052</v>
      </c>
      <c r="AO94" s="81"/>
      <c r="AP94" s="98">
        <v>3.100477409947784</v>
      </c>
      <c r="AQ94" s="98">
        <v>0.00547008547008547</v>
      </c>
      <c r="AR94" s="81"/>
      <c r="AS94" s="98">
        <v>3.100477409947784</v>
      </c>
      <c r="AT94" s="98">
        <v>0.006257142857142857</v>
      </c>
      <c r="AU94" s="81"/>
      <c r="AV94" s="98">
        <v>3.100477409947784</v>
      </c>
      <c r="AW94" s="98">
        <v>0.004017094017094017</v>
      </c>
      <c r="AX94" s="81"/>
      <c r="AY94" s="98">
        <v>3.100477409947784</v>
      </c>
      <c r="AZ94" s="98">
        <v>0.0051428571428571435</v>
      </c>
      <c r="BA94" s="81"/>
      <c r="BB94" s="98">
        <v>3.100477409947784</v>
      </c>
      <c r="BC94" s="98">
        <v>0.002735042735042735</v>
      </c>
      <c r="BF94">
        <v>28</v>
      </c>
      <c r="BG94">
        <v>27</v>
      </c>
      <c r="BH94" s="2">
        <v>0.142905717481179</v>
      </c>
      <c r="BI94" s="2">
        <v>0.00462716739862605</v>
      </c>
      <c r="BK94">
        <v>28</v>
      </c>
      <c r="BL94">
        <v>27</v>
      </c>
      <c r="BM94" s="2">
        <v>0.151372144961517</v>
      </c>
      <c r="BN94" s="2">
        <v>0.00445975739163979</v>
      </c>
      <c r="BP94">
        <v>28</v>
      </c>
      <c r="BQ94">
        <v>27</v>
      </c>
      <c r="BR94" s="2">
        <v>0.109746795919718</v>
      </c>
      <c r="BS94" s="2">
        <v>0.00223695021043512</v>
      </c>
      <c r="BV94">
        <v>28</v>
      </c>
      <c r="BW94">
        <v>27</v>
      </c>
      <c r="BX94" s="2">
        <v>0.149669968960889</v>
      </c>
      <c r="BY94" s="2">
        <v>0.00459799191808393</v>
      </c>
    </row>
    <row r="95" spans="6:77" ht="12.75">
      <c r="F95" s="74" t="s">
        <v>17</v>
      </c>
      <c r="G95" s="73">
        <f>G94+F94</f>
        <v>0.12071165204403392</v>
      </c>
      <c r="H95" s="6"/>
      <c r="M95" s="8"/>
      <c r="N95" s="8"/>
      <c r="P95" s="8"/>
      <c r="Q95" s="8"/>
      <c r="R95" s="9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34"/>
      <c r="AD95" s="22"/>
      <c r="AH95" s="98">
        <v>3.2253097435624847</v>
      </c>
      <c r="AI95" s="98">
        <v>0.010285714285714285</v>
      </c>
      <c r="AJ95" s="98">
        <v>1.8077686769634278</v>
      </c>
      <c r="AK95" s="98">
        <v>0.005071225071225071</v>
      </c>
      <c r="AL95" s="81"/>
      <c r="AM95" s="98">
        <v>3.2253097435624847</v>
      </c>
      <c r="AN95" s="98">
        <v>0.0052</v>
      </c>
      <c r="AO95" s="81"/>
      <c r="AP95" s="98">
        <v>3.2253097435624847</v>
      </c>
      <c r="AQ95" s="98">
        <v>0.00547008547008547</v>
      </c>
      <c r="AR95" s="81"/>
      <c r="AS95" s="98">
        <v>3.2253097435624847</v>
      </c>
      <c r="AT95" s="98">
        <v>0.006257142857142857</v>
      </c>
      <c r="AU95" s="81"/>
      <c r="AV95" s="98">
        <v>3.2253097435624847</v>
      </c>
      <c r="AW95" s="98">
        <v>0.004017094017094017</v>
      </c>
      <c r="AX95" s="81"/>
      <c r="AY95" s="98">
        <v>3.2253097435624847</v>
      </c>
      <c r="AZ95" s="98">
        <v>0.0051428571428571435</v>
      </c>
      <c r="BA95" s="81"/>
      <c r="BB95" s="98">
        <v>3.2253097435624847</v>
      </c>
      <c r="BC95" s="98">
        <v>0.002735042735042735</v>
      </c>
      <c r="BF95">
        <v>29</v>
      </c>
      <c r="BG95">
        <v>28</v>
      </c>
      <c r="BH95" s="2">
        <v>0.15835011670808</v>
      </c>
      <c r="BI95" s="2">
        <v>0.00499137483919239</v>
      </c>
      <c r="BK95">
        <v>29</v>
      </c>
      <c r="BL95">
        <v>28</v>
      </c>
      <c r="BM95" s="2">
        <v>0.163750538147138</v>
      </c>
      <c r="BN95" s="2">
        <v>0.00472841029027697</v>
      </c>
      <c r="BP95">
        <v>29</v>
      </c>
      <c r="BQ95">
        <v>28</v>
      </c>
      <c r="BR95" s="2">
        <v>0.116377676804519</v>
      </c>
      <c r="BS95" s="2">
        <v>0.00262792894438695</v>
      </c>
      <c r="BV95">
        <v>29</v>
      </c>
      <c r="BW95">
        <v>28</v>
      </c>
      <c r="BX95" s="2">
        <v>0.163294035984515</v>
      </c>
      <c r="BY95" s="2">
        <v>0.00490093574472854</v>
      </c>
    </row>
    <row r="96" spans="6:77" ht="12">
      <c r="F96" s="74" t="s">
        <v>15</v>
      </c>
      <c r="G96" s="74">
        <f>G95*4</f>
        <v>0.48284660817613567</v>
      </c>
      <c r="H96" s="6" t="s">
        <v>16</v>
      </c>
      <c r="M96" s="8"/>
      <c r="N96" s="8"/>
      <c r="P96" s="8"/>
      <c r="Q96" s="8"/>
      <c r="R96" s="9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34"/>
      <c r="AD96" s="22"/>
      <c r="AH96" s="98">
        <v>3.355168113317843</v>
      </c>
      <c r="AI96" s="98">
        <v>0.010285714285714285</v>
      </c>
      <c r="AJ96" s="98">
        <v>1.8682223847710302</v>
      </c>
      <c r="AK96" s="98">
        <v>0.005071225071225071</v>
      </c>
      <c r="AL96" s="81"/>
      <c r="AM96" s="98">
        <v>3.355168113317843</v>
      </c>
      <c r="AN96" s="98">
        <v>0.0052</v>
      </c>
      <c r="AO96" s="81"/>
      <c r="AP96" s="98">
        <v>3.355168113317843</v>
      </c>
      <c r="AQ96" s="98">
        <v>0.007293447293447294</v>
      </c>
      <c r="AR96" s="81"/>
      <c r="AS96" s="98">
        <v>3.355168113317843</v>
      </c>
      <c r="AT96" s="98">
        <v>0.006257142857142857</v>
      </c>
      <c r="AU96" s="81"/>
      <c r="AV96" s="98">
        <v>3.355168113317843</v>
      </c>
      <c r="AW96" s="98">
        <v>0.0053561253561253555</v>
      </c>
      <c r="AX96" s="81"/>
      <c r="AY96" s="98">
        <v>3.355168113317843</v>
      </c>
      <c r="AZ96" s="98">
        <v>0.006171428571428572</v>
      </c>
      <c r="BA96" s="81"/>
      <c r="BB96" s="98">
        <v>3.355168113317843</v>
      </c>
      <c r="BC96" s="98">
        <v>0.002735042735042735</v>
      </c>
      <c r="BF96">
        <v>30</v>
      </c>
      <c r="BG96">
        <v>29</v>
      </c>
      <c r="BH96" s="2">
        <v>0.173794515934981</v>
      </c>
      <c r="BI96" s="2">
        <v>0.00531466250948165</v>
      </c>
      <c r="BK96">
        <v>30</v>
      </c>
      <c r="BL96">
        <v>29</v>
      </c>
      <c r="BM96" s="2">
        <v>0.176128931332759</v>
      </c>
      <c r="BN96" s="2">
        <v>0.00497815400920926</v>
      </c>
      <c r="BP96">
        <v>30</v>
      </c>
      <c r="BQ96">
        <v>29</v>
      </c>
      <c r="BR96" s="2">
        <v>0.12300855768932</v>
      </c>
      <c r="BS96" s="2">
        <v>0.00294638090913982</v>
      </c>
      <c r="BV96">
        <v>30</v>
      </c>
      <c r="BW96">
        <v>29</v>
      </c>
      <c r="BX96" s="2">
        <v>0.176918103008141</v>
      </c>
      <c r="BY96" s="2">
        <v>0.00517659127092781</v>
      </c>
    </row>
    <row r="97" spans="6:77" ht="12.75">
      <c r="F97" s="46"/>
      <c r="G97" s="75"/>
      <c r="H97" s="8"/>
      <c r="M97" s="8"/>
      <c r="N97" s="8"/>
      <c r="P97" s="8"/>
      <c r="Q97" s="8"/>
      <c r="R97" s="9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34"/>
      <c r="AD97" s="22"/>
      <c r="AH97" s="98">
        <v>3.4902548789595738</v>
      </c>
      <c r="AI97" s="98">
        <v>0.010285714285714285</v>
      </c>
      <c r="AJ97" s="98">
        <v>1.9306977288832432</v>
      </c>
      <c r="AK97" s="98">
        <v>0.005071225071225071</v>
      </c>
      <c r="AL97" s="81"/>
      <c r="AM97" s="98">
        <v>3.4902548789595738</v>
      </c>
      <c r="AN97" s="98">
        <v>0.0052</v>
      </c>
      <c r="AO97" s="81"/>
      <c r="AP97" s="98">
        <v>3.4902548789595738</v>
      </c>
      <c r="AQ97" s="98">
        <v>0.007293447293447294</v>
      </c>
      <c r="AR97" s="81"/>
      <c r="AS97" s="98">
        <v>3.4902548789595738</v>
      </c>
      <c r="AT97" s="98">
        <v>0.006257142857142857</v>
      </c>
      <c r="AU97" s="81"/>
      <c r="AV97" s="98">
        <v>3.4902548789595738</v>
      </c>
      <c r="AW97" s="98">
        <v>0.0053561253561253555</v>
      </c>
      <c r="AX97" s="81"/>
      <c r="AY97" s="98">
        <v>3.4902548789595738</v>
      </c>
      <c r="AZ97" s="98">
        <v>0.006171428571428572</v>
      </c>
      <c r="BA97" s="81"/>
      <c r="BB97" s="98">
        <v>3.4902548789595738</v>
      </c>
      <c r="BC97" s="98">
        <v>0.002735042735042735</v>
      </c>
      <c r="BF97">
        <v>31</v>
      </c>
      <c r="BG97">
        <v>30</v>
      </c>
      <c r="BH97" s="2">
        <v>0.204683314388784</v>
      </c>
      <c r="BI97" s="2">
        <v>0.00591778432041669</v>
      </c>
      <c r="BK97">
        <v>31</v>
      </c>
      <c r="BL97">
        <v>30</v>
      </c>
      <c r="BM97" s="2">
        <v>0.200885717704001</v>
      </c>
      <c r="BN97" s="2">
        <v>0.00545216654344418</v>
      </c>
      <c r="BP97">
        <v>31</v>
      </c>
      <c r="BQ97">
        <v>30</v>
      </c>
      <c r="BR97" s="2">
        <v>0.129639438574121</v>
      </c>
      <c r="BS97" s="2">
        <v>0.00321360661260564</v>
      </c>
      <c r="BV97">
        <v>31</v>
      </c>
      <c r="BW97">
        <v>30</v>
      </c>
      <c r="BX97" s="2">
        <v>0.204166237055392</v>
      </c>
      <c r="BY97" s="2">
        <v>0.00569709185832941</v>
      </c>
    </row>
    <row r="98" spans="1:77" ht="12.75">
      <c r="A98" s="24" t="s">
        <v>25</v>
      </c>
      <c r="F98" s="83"/>
      <c r="G98" s="76"/>
      <c r="M98" s="8"/>
      <c r="N98" s="8"/>
      <c r="P98" s="8"/>
      <c r="Q98" s="8"/>
      <c r="R98" s="9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34"/>
      <c r="AD98" s="22"/>
      <c r="AH98" s="98">
        <v>3.6307805477010064</v>
      </c>
      <c r="AI98" s="98">
        <v>0.013714285714285714</v>
      </c>
      <c r="AJ98" s="98">
        <v>1.9952623149688724</v>
      </c>
      <c r="AK98" s="98">
        <v>0.005071225071225071</v>
      </c>
      <c r="AL98" s="81"/>
      <c r="AM98" s="98">
        <v>3.6307805477010064</v>
      </c>
      <c r="AN98" s="98">
        <v>0.0078</v>
      </c>
      <c r="AO98" s="81"/>
      <c r="AP98" s="98">
        <v>3.6307805477010064</v>
      </c>
      <c r="AQ98" s="98">
        <v>0.007293447293447294</v>
      </c>
      <c r="AR98" s="81"/>
      <c r="AS98" s="98">
        <v>3.6307805477010064</v>
      </c>
      <c r="AT98" s="98">
        <v>0.008342857142857143</v>
      </c>
      <c r="AU98" s="81"/>
      <c r="AV98" s="98">
        <v>3.6307805477010064</v>
      </c>
      <c r="AW98" s="98">
        <v>0.0053561253561253555</v>
      </c>
      <c r="AX98" s="81"/>
      <c r="AY98" s="98">
        <v>3.6307805477010064</v>
      </c>
      <c r="AZ98" s="98">
        <v>0.006171428571428572</v>
      </c>
      <c r="BA98" s="81"/>
      <c r="BB98" s="98">
        <v>3.6307805477010064</v>
      </c>
      <c r="BC98" s="98">
        <v>0.003418803418803419</v>
      </c>
      <c r="BF98">
        <v>32</v>
      </c>
      <c r="BG98">
        <v>31</v>
      </c>
      <c r="BH98" s="2">
        <v>0.235572112842586</v>
      </c>
      <c r="BI98" s="2">
        <v>0.00648965637248126</v>
      </c>
      <c r="BK98">
        <v>32</v>
      </c>
      <c r="BL98">
        <v>31</v>
      </c>
      <c r="BM98" s="2">
        <v>0.225642504075243</v>
      </c>
      <c r="BN98" s="2">
        <v>0.00590809099417874</v>
      </c>
      <c r="BP98">
        <v>32</v>
      </c>
      <c r="BQ98">
        <v>31</v>
      </c>
      <c r="BR98" s="2">
        <v>0.142901200343722</v>
      </c>
      <c r="BS98" s="2">
        <v>0.00361279960547132</v>
      </c>
      <c r="BV98">
        <v>32</v>
      </c>
      <c r="BW98">
        <v>31</v>
      </c>
      <c r="BX98" s="2">
        <v>0.231414371102643</v>
      </c>
      <c r="BY98" s="2">
        <v>0.00619539987719144</v>
      </c>
    </row>
    <row r="99" spans="1:77" ht="29.25">
      <c r="A99" s="6"/>
      <c r="B99" s="23" t="s">
        <v>14</v>
      </c>
      <c r="C99" s="66" t="s">
        <v>65</v>
      </c>
      <c r="D99" s="66" t="s">
        <v>66</v>
      </c>
      <c r="E99" s="66" t="s">
        <v>68</v>
      </c>
      <c r="F99" s="84" t="s">
        <v>64</v>
      </c>
      <c r="G99" s="77" t="s">
        <v>63</v>
      </c>
      <c r="H99" s="27" t="s">
        <v>62</v>
      </c>
      <c r="I99" s="27" t="s">
        <v>61</v>
      </c>
      <c r="M99" s="8"/>
      <c r="N99" s="8"/>
      <c r="P99" s="8"/>
      <c r="Q99" s="8"/>
      <c r="R99" s="9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34"/>
      <c r="AD99" s="22"/>
      <c r="AH99" s="98">
        <v>3.776964102258822</v>
      </c>
      <c r="AI99" s="98">
        <v>0.013714285714285714</v>
      </c>
      <c r="AJ99" s="98">
        <v>2.061986009502213</v>
      </c>
      <c r="AK99" s="98">
        <v>0.005071225071225071</v>
      </c>
      <c r="AL99" s="81"/>
      <c r="AM99" s="98">
        <v>3.776964102258822</v>
      </c>
      <c r="AN99" s="98">
        <v>0.0078</v>
      </c>
      <c r="AO99" s="81"/>
      <c r="AP99" s="98">
        <v>3.776964102258822</v>
      </c>
      <c r="AQ99" s="98">
        <v>0.007293447293447294</v>
      </c>
      <c r="AR99" s="81"/>
      <c r="AS99" s="98">
        <v>3.776964102258822</v>
      </c>
      <c r="AT99" s="98">
        <v>0.008342857142857143</v>
      </c>
      <c r="AU99" s="81"/>
      <c r="AV99" s="98">
        <v>3.776964102258822</v>
      </c>
      <c r="AW99" s="98">
        <v>0.0053561253561253555</v>
      </c>
      <c r="AX99" s="81"/>
      <c r="AY99" s="98">
        <v>3.776964102258822</v>
      </c>
      <c r="AZ99" s="98">
        <v>0.006171428571428572</v>
      </c>
      <c r="BA99" s="81"/>
      <c r="BB99" s="98">
        <v>3.776964102258822</v>
      </c>
      <c r="BC99" s="98">
        <v>0.003418803418803419</v>
      </c>
      <c r="BF99">
        <v>33</v>
      </c>
      <c r="BG99">
        <v>32</v>
      </c>
      <c r="BH99" s="2">
        <v>0.266460911296388</v>
      </c>
      <c r="BI99" s="2">
        <v>0.00703519653134364</v>
      </c>
      <c r="BK99">
        <v>33</v>
      </c>
      <c r="BL99">
        <v>32</v>
      </c>
      <c r="BM99" s="2">
        <v>0.275156076817727</v>
      </c>
      <c r="BN99" s="2">
        <v>0.00676165825816805</v>
      </c>
      <c r="BP99">
        <v>33</v>
      </c>
      <c r="BQ99">
        <v>32</v>
      </c>
      <c r="BR99" s="2">
        <v>0.156162962113324</v>
      </c>
      <c r="BS99" s="2">
        <v>0.00393018097544977</v>
      </c>
      <c r="BV99">
        <v>33</v>
      </c>
      <c r="BW99">
        <v>32</v>
      </c>
      <c r="BX99" s="2">
        <v>0.285910639197146</v>
      </c>
      <c r="BY99" s="2">
        <v>0.00711619058736173</v>
      </c>
    </row>
    <row r="100" spans="1:77" ht="12">
      <c r="A100" s="6"/>
      <c r="B100" s="6">
        <v>1</v>
      </c>
      <c r="C100" s="85">
        <f>(15-9.81)*B100</f>
        <v>5.1899999999999995</v>
      </c>
      <c r="D100" s="86">
        <f>C100+20</f>
        <v>25.189999999999998</v>
      </c>
      <c r="E100" s="87">
        <f>C100*1.5</f>
        <v>7.784999999999999</v>
      </c>
      <c r="F100" s="71">
        <f>$A$9/$G$7*LOG(E100/C100)</f>
        <v>0.004403351074054666</v>
      </c>
      <c r="G100" s="71">
        <f>$B$9/$G$7*LOG((D100)/E100)</f>
        <v>0.20431920160366895</v>
      </c>
      <c r="H100" s="17">
        <f>G103/20</f>
        <v>0.00715815558402183</v>
      </c>
      <c r="I100" s="18">
        <f>$E$7/9.81/H100</f>
        <v>0.002706863040563346</v>
      </c>
      <c r="M100" s="8"/>
      <c r="N100" s="8"/>
      <c r="P100" s="8"/>
      <c r="Q100" s="8"/>
      <c r="R100" s="9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34"/>
      <c r="AD100" s="22"/>
      <c r="AH100" s="98">
        <v>3.9290333420962638</v>
      </c>
      <c r="AI100" s="98">
        <v>0.013714285714285714</v>
      </c>
      <c r="AJ100" s="98">
        <v>2.1309410153667896</v>
      </c>
      <c r="AK100" s="98">
        <v>0.005071225071225071</v>
      </c>
      <c r="AL100" s="81"/>
      <c r="AM100" s="98">
        <v>3.9290333420962638</v>
      </c>
      <c r="AN100" s="98">
        <v>0.0078</v>
      </c>
      <c r="AO100" s="81"/>
      <c r="AP100" s="98">
        <v>3.9290333420962638</v>
      </c>
      <c r="AQ100" s="98">
        <v>0.007293447293447294</v>
      </c>
      <c r="AR100" s="81"/>
      <c r="AS100" s="98">
        <v>3.9290333420962638</v>
      </c>
      <c r="AT100" s="98">
        <v>0.008342857142857143</v>
      </c>
      <c r="AU100" s="81"/>
      <c r="AV100" s="98">
        <v>3.9290333420962638</v>
      </c>
      <c r="AW100" s="98">
        <v>0.0053561253561253555</v>
      </c>
      <c r="AX100" s="81"/>
      <c r="AY100" s="98">
        <v>3.9290333420962638</v>
      </c>
      <c r="AZ100" s="98">
        <v>0.0072</v>
      </c>
      <c r="BA100" s="81"/>
      <c r="BB100" s="98">
        <v>3.9290333420962638</v>
      </c>
      <c r="BC100" s="98">
        <v>0.003418803418803419</v>
      </c>
      <c r="BF100">
        <v>34</v>
      </c>
      <c r="BG100">
        <v>33</v>
      </c>
      <c r="BH100" s="2">
        <v>0.328238508203993</v>
      </c>
      <c r="BI100" s="2">
        <v>0.00800116426757905</v>
      </c>
      <c r="BK100">
        <v>34</v>
      </c>
      <c r="BL100">
        <v>33</v>
      </c>
      <c r="BM100" s="2">
        <v>0.324669649560211</v>
      </c>
      <c r="BN100" s="2">
        <v>0.00752755877087885</v>
      </c>
      <c r="BP100">
        <v>34</v>
      </c>
      <c r="BQ100">
        <v>33</v>
      </c>
      <c r="BR100" s="2">
        <v>0.169424723882926</v>
      </c>
      <c r="BS100" s="2">
        <v>0.00420281518659647</v>
      </c>
      <c r="BV100">
        <v>34</v>
      </c>
      <c r="BW100">
        <v>33</v>
      </c>
      <c r="BX100" s="2">
        <v>0.340406907291649</v>
      </c>
      <c r="BY100" s="2">
        <v>0.00793204600932743</v>
      </c>
    </row>
    <row r="101" spans="1:77" ht="12">
      <c r="A101" s="6"/>
      <c r="B101" s="6">
        <f>B100+2</f>
        <v>3</v>
      </c>
      <c r="C101" s="85">
        <f>(15-9.81)*B101</f>
        <v>15.569999999999999</v>
      </c>
      <c r="D101" s="86">
        <f>C101+20</f>
        <v>35.57</v>
      </c>
      <c r="E101" s="87">
        <f>C101*1.5</f>
        <v>23.354999999999997</v>
      </c>
      <c r="F101" s="71">
        <f>$A$9/$G$7*LOG(E101/C101)</f>
        <v>0.004403351074054666</v>
      </c>
      <c r="G101" s="71">
        <f>$B$9/$G$7*LOG((D101)/E101)</f>
        <v>0.07320031960909491</v>
      </c>
      <c r="H101" s="6"/>
      <c r="I101" s="6"/>
      <c r="M101" s="8"/>
      <c r="N101" s="8"/>
      <c r="P101" s="8"/>
      <c r="Q101" s="8"/>
      <c r="R101" s="9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34"/>
      <c r="AD101" s="22"/>
      <c r="AH101" s="98">
        <v>4.087225238405582</v>
      </c>
      <c r="AI101" s="98">
        <v>0.013714285714285714</v>
      </c>
      <c r="AJ101" s="98">
        <v>2.2022019499873675</v>
      </c>
      <c r="AK101" s="98">
        <v>0.005071225071225071</v>
      </c>
      <c r="AL101" s="81"/>
      <c r="AM101" s="98">
        <v>4.087225238405582</v>
      </c>
      <c r="AN101" s="98">
        <v>0.0078</v>
      </c>
      <c r="AO101" s="81"/>
      <c r="AP101" s="98">
        <v>4.087225238405582</v>
      </c>
      <c r="AQ101" s="98">
        <v>0.007293447293447294</v>
      </c>
      <c r="AR101" s="81"/>
      <c r="AS101" s="98">
        <v>4.087225238405582</v>
      </c>
      <c r="AT101" s="98">
        <v>0.008342857142857143</v>
      </c>
      <c r="AU101" s="81"/>
      <c r="AV101" s="98">
        <v>4.087225238405582</v>
      </c>
      <c r="AW101" s="98">
        <v>0.0053561253561253555</v>
      </c>
      <c r="AX101" s="81"/>
      <c r="AY101" s="98">
        <v>4.087225238405582</v>
      </c>
      <c r="AZ101" s="98">
        <v>0.0072</v>
      </c>
      <c r="BA101" s="81"/>
      <c r="BB101" s="98">
        <v>4.087225238405582</v>
      </c>
      <c r="BC101" s="98">
        <v>0.003418803418803419</v>
      </c>
      <c r="BF101">
        <v>35</v>
      </c>
      <c r="BG101">
        <v>34</v>
      </c>
      <c r="BH101" s="2">
        <v>0.390016105111598</v>
      </c>
      <c r="BI101" s="2">
        <v>0.00884644274340404</v>
      </c>
      <c r="BK101">
        <v>35</v>
      </c>
      <c r="BL101">
        <v>34</v>
      </c>
      <c r="BM101" s="2">
        <v>0.423696795045179</v>
      </c>
      <c r="BN101" s="2">
        <v>0.00880970849472796</v>
      </c>
      <c r="BP101">
        <v>35</v>
      </c>
      <c r="BQ101">
        <v>34</v>
      </c>
      <c r="BR101" s="2">
        <v>0.195948247422129</v>
      </c>
      <c r="BS101" s="2">
        <v>0.00471082588098339</v>
      </c>
      <c r="BV101">
        <v>35</v>
      </c>
      <c r="BW101">
        <v>34</v>
      </c>
      <c r="BX101" s="2">
        <v>0.449399443480654</v>
      </c>
      <c r="BY101" s="2">
        <v>0.00928854170927969</v>
      </c>
    </row>
    <row r="102" spans="3:77" ht="12">
      <c r="C102" s="60"/>
      <c r="D102" s="60"/>
      <c r="E102" s="60"/>
      <c r="F102" s="72">
        <f>SUM(F100:F101)/2</f>
        <v>0.004403351074054666</v>
      </c>
      <c r="G102" s="72">
        <f>SUM(G100:G101)/2</f>
        <v>0.13875976060638193</v>
      </c>
      <c r="H102" s="6"/>
      <c r="M102" s="8"/>
      <c r="N102" s="8"/>
      <c r="P102" s="8"/>
      <c r="Q102" s="8"/>
      <c r="R102" s="9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34"/>
      <c r="AD102" s="22"/>
      <c r="AH102" s="98">
        <v>4.2517863033828815</v>
      </c>
      <c r="AI102" s="98">
        <v>0.013714285714285714</v>
      </c>
      <c r="AJ102" s="98">
        <v>2.2758459260747803</v>
      </c>
      <c r="AK102" s="98">
        <v>0.005071225071225071</v>
      </c>
      <c r="AL102" s="81"/>
      <c r="AM102" s="98">
        <v>4.2517863033828815</v>
      </c>
      <c r="AN102" s="98">
        <v>0.0078</v>
      </c>
      <c r="AO102" s="81"/>
      <c r="AP102" s="98">
        <v>4.2517863033828815</v>
      </c>
      <c r="AQ102" s="98">
        <v>0.007293447293447294</v>
      </c>
      <c r="AR102" s="81"/>
      <c r="AS102" s="98">
        <v>4.2517863033828815</v>
      </c>
      <c r="AT102" s="98">
        <v>0.008342857142857143</v>
      </c>
      <c r="AU102" s="81"/>
      <c r="AV102" s="98">
        <v>4.2517863033828815</v>
      </c>
      <c r="AW102" s="98">
        <v>0.0053561253561253555</v>
      </c>
      <c r="AX102" s="81"/>
      <c r="AY102" s="98">
        <v>4.2517863033828815</v>
      </c>
      <c r="AZ102" s="98">
        <v>0.0072</v>
      </c>
      <c r="BA102" s="81"/>
      <c r="BB102" s="98">
        <v>4.2517863033828815</v>
      </c>
      <c r="BC102" s="98">
        <v>0.003418803418803419</v>
      </c>
      <c r="BF102">
        <v>36</v>
      </c>
      <c r="BG102">
        <v>35</v>
      </c>
      <c r="BH102" s="2">
        <v>0.513571298926808</v>
      </c>
      <c r="BI102" s="2">
        <v>0.010266318449225</v>
      </c>
      <c r="BK102">
        <v>36</v>
      </c>
      <c r="BL102">
        <v>35</v>
      </c>
      <c r="BM102" s="2">
        <v>0.522723940530148</v>
      </c>
      <c r="BN102" s="2">
        <v>0.00991895307626211</v>
      </c>
      <c r="BP102">
        <v>36</v>
      </c>
      <c r="BQ102">
        <v>35</v>
      </c>
      <c r="BR102" s="2">
        <v>0.222471770961333</v>
      </c>
      <c r="BS102" s="2">
        <v>0.00519541848082383</v>
      </c>
      <c r="BV102">
        <v>36</v>
      </c>
      <c r="BW102">
        <v>35</v>
      </c>
      <c r="BX102" s="2">
        <v>0.55839197966966</v>
      </c>
      <c r="BY102" s="2">
        <v>0.0104561624885747</v>
      </c>
    </row>
    <row r="103" spans="3:77" ht="12.75">
      <c r="C103" s="60"/>
      <c r="D103" s="60"/>
      <c r="E103" s="60"/>
      <c r="F103" s="74" t="s">
        <v>17</v>
      </c>
      <c r="G103" s="73">
        <f>G102+F102</f>
        <v>0.1431631116804366</v>
      </c>
      <c r="H103" s="6"/>
      <c r="M103" s="8"/>
      <c r="N103" s="8"/>
      <c r="P103" s="8"/>
      <c r="Q103" s="8"/>
      <c r="R103" s="8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34"/>
      <c r="AD103" s="22"/>
      <c r="AH103" s="98">
        <v>4.422972974370833</v>
      </c>
      <c r="AI103" s="98">
        <v>0.013714285714285714</v>
      </c>
      <c r="AJ103" s="98">
        <v>2.3519526350709503</v>
      </c>
      <c r="AK103" s="98">
        <v>0.005071225071225071</v>
      </c>
      <c r="AL103" s="81"/>
      <c r="AM103" s="98">
        <v>4.422972974370833</v>
      </c>
      <c r="AN103" s="98">
        <v>0.0078</v>
      </c>
      <c r="AO103" s="81"/>
      <c r="AP103" s="98">
        <v>4.422972974370833</v>
      </c>
      <c r="AQ103" s="98">
        <v>0.007293447293447294</v>
      </c>
      <c r="AR103" s="81"/>
      <c r="AS103" s="98">
        <v>4.422972974370833</v>
      </c>
      <c r="AT103" s="98">
        <v>0.008342857142857143</v>
      </c>
      <c r="AU103" s="81"/>
      <c r="AV103" s="98">
        <v>4.422972974370833</v>
      </c>
      <c r="AW103" s="98">
        <v>0.0053561253561253555</v>
      </c>
      <c r="AX103" s="81"/>
      <c r="AY103" s="98">
        <v>4.422972974370833</v>
      </c>
      <c r="AZ103" s="98">
        <v>0.008228571428571429</v>
      </c>
      <c r="BA103" s="81"/>
      <c r="BB103" s="98">
        <v>4.422972974370833</v>
      </c>
      <c r="BC103" s="98">
        <v>0.003418803418803419</v>
      </c>
      <c r="BF103">
        <v>37</v>
      </c>
      <c r="BG103">
        <v>36</v>
      </c>
      <c r="BH103" s="2">
        <v>0.637126492742017</v>
      </c>
      <c r="BI103" s="2">
        <v>0.0114842362839861</v>
      </c>
      <c r="BK103">
        <v>37</v>
      </c>
      <c r="BL103">
        <v>36</v>
      </c>
      <c r="BM103" s="2">
        <v>0.720778231500084</v>
      </c>
      <c r="BN103" s="2">
        <v>0.0117445240363295</v>
      </c>
      <c r="BP103">
        <v>37</v>
      </c>
      <c r="BQ103">
        <v>36</v>
      </c>
      <c r="BR103" s="2">
        <v>0.27551881803974</v>
      </c>
      <c r="BS103" s="2">
        <v>0.00610166728345694</v>
      </c>
      <c r="BV103">
        <v>37</v>
      </c>
      <c r="BW103">
        <v>36</v>
      </c>
      <c r="BX103" s="2">
        <v>0.776377052047671</v>
      </c>
      <c r="BY103" s="2">
        <v>0.0123852313154088</v>
      </c>
    </row>
    <row r="104" spans="3:77" ht="12">
      <c r="C104" s="60"/>
      <c r="D104" s="60"/>
      <c r="E104" s="60"/>
      <c r="F104" s="74" t="s">
        <v>15</v>
      </c>
      <c r="G104" s="74">
        <f>G103*4</f>
        <v>0.5726524467217464</v>
      </c>
      <c r="H104" s="6" t="s">
        <v>16</v>
      </c>
      <c r="M104" s="8"/>
      <c r="N104" s="8"/>
      <c r="P104" s="8"/>
      <c r="Q104" s="8"/>
      <c r="R104" s="8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34"/>
      <c r="AD104" s="22"/>
      <c r="AH104" s="98">
        <v>4.601052013467834</v>
      </c>
      <c r="AI104" s="98">
        <v>0.01714285714285714</v>
      </c>
      <c r="AJ104" s="98">
        <v>2.4306044333844006</v>
      </c>
      <c r="AK104" s="98">
        <v>0.005071225071225071</v>
      </c>
      <c r="AL104" s="81"/>
      <c r="AM104" s="98">
        <v>4.601052013467834</v>
      </c>
      <c r="AN104" s="98">
        <v>0.0104</v>
      </c>
      <c r="AO104" s="81"/>
      <c r="AP104" s="98">
        <v>4.601052013467834</v>
      </c>
      <c r="AQ104" s="98">
        <v>0.007293447293447294</v>
      </c>
      <c r="AR104" s="81"/>
      <c r="AS104" s="98">
        <v>4.601052013467834</v>
      </c>
      <c r="AT104" s="98">
        <v>0.01042857142857143</v>
      </c>
      <c r="AU104" s="81"/>
      <c r="AV104" s="98">
        <v>4.601052013467834</v>
      </c>
      <c r="AW104" s="98">
        <v>0.0053561253561253555</v>
      </c>
      <c r="AX104" s="81"/>
      <c r="AY104" s="98">
        <v>4.601052013467834</v>
      </c>
      <c r="AZ104" s="98">
        <v>0.008228571428571429</v>
      </c>
      <c r="BA104" s="81"/>
      <c r="BB104" s="98">
        <v>4.601052013467834</v>
      </c>
      <c r="BC104" s="98">
        <v>0.0041025641025641026</v>
      </c>
      <c r="BF104">
        <v>38</v>
      </c>
      <c r="BG104">
        <v>37</v>
      </c>
      <c r="BH104" s="2">
        <v>0.884236880372437</v>
      </c>
      <c r="BI104" s="2">
        <v>0.0135279272716048</v>
      </c>
      <c r="BK104">
        <v>38</v>
      </c>
      <c r="BL104">
        <v>37</v>
      </c>
      <c r="BM104" s="2">
        <v>0.918832522470021</v>
      </c>
      <c r="BN104" s="2">
        <v>0.01332989949526</v>
      </c>
      <c r="BP104">
        <v>38</v>
      </c>
      <c r="BQ104">
        <v>37</v>
      </c>
      <c r="BR104" s="2">
        <v>0.328565865118147</v>
      </c>
      <c r="BS104" s="2">
        <v>0.00691215907682471</v>
      </c>
      <c r="BV104">
        <v>38</v>
      </c>
      <c r="BW104">
        <v>37</v>
      </c>
      <c r="BX104" s="2">
        <v>0.994362124425682</v>
      </c>
      <c r="BY104" s="2">
        <v>0.0140604719351993</v>
      </c>
    </row>
    <row r="105" spans="1:77" ht="12.75">
      <c r="A105" s="8"/>
      <c r="B105" s="13"/>
      <c r="C105" s="92"/>
      <c r="D105" s="60"/>
      <c r="E105" s="90"/>
      <c r="F105" s="46"/>
      <c r="G105" s="46"/>
      <c r="M105" s="8"/>
      <c r="N105" s="8"/>
      <c r="P105" s="8"/>
      <c r="Q105" s="8"/>
      <c r="R105" s="8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34"/>
      <c r="AD105" s="22"/>
      <c r="AH105" s="98">
        <v>4.786300923226373</v>
      </c>
      <c r="AI105" s="98">
        <v>0.01714285714285714</v>
      </c>
      <c r="AJ105" s="98">
        <v>2.5118864315095712</v>
      </c>
      <c r="AK105" s="98">
        <v>0.007606837606837607</v>
      </c>
      <c r="AL105" s="81"/>
      <c r="AM105" s="98">
        <v>4.786300923226373</v>
      </c>
      <c r="AN105" s="98">
        <v>0.0104</v>
      </c>
      <c r="AO105" s="81"/>
      <c r="AP105" s="98">
        <v>4.786300923226373</v>
      </c>
      <c r="AQ105" s="98">
        <v>0.009116809116809118</v>
      </c>
      <c r="AR105" s="81"/>
      <c r="AS105" s="98">
        <v>4.786300923226373</v>
      </c>
      <c r="AT105" s="98">
        <v>0.01042857142857143</v>
      </c>
      <c r="AU105" s="81"/>
      <c r="AV105" s="98">
        <v>4.786300923226373</v>
      </c>
      <c r="AW105" s="98">
        <v>0.006695156695156694</v>
      </c>
      <c r="AX105" s="81"/>
      <c r="AY105" s="98">
        <v>4.786300923226373</v>
      </c>
      <c r="AZ105" s="98">
        <v>0.009257142857142858</v>
      </c>
      <c r="BA105" s="81"/>
      <c r="BB105" s="98">
        <v>4.786300923226373</v>
      </c>
      <c r="BC105" s="98">
        <v>0.0041025641025641026</v>
      </c>
      <c r="BF105">
        <v>39</v>
      </c>
      <c r="BG105">
        <v>38</v>
      </c>
      <c r="BH105" s="2">
        <v>1.13134726800286</v>
      </c>
      <c r="BI105" s="2">
        <v>0.0153082016151715</v>
      </c>
      <c r="BK105">
        <v>39</v>
      </c>
      <c r="BL105">
        <v>38</v>
      </c>
      <c r="BM105" s="2">
        <v>1.31494110440989</v>
      </c>
      <c r="BN105" s="2">
        <v>0.015997372803414</v>
      </c>
      <c r="BP105">
        <v>39</v>
      </c>
      <c r="BQ105">
        <v>38</v>
      </c>
      <c r="BR105" s="2">
        <v>0.381612912196554</v>
      </c>
      <c r="BS105" s="2">
        <v>0.00763793031078197</v>
      </c>
      <c r="BV105">
        <v>39</v>
      </c>
      <c r="BW105">
        <v>38</v>
      </c>
      <c r="BX105" s="2">
        <v>1.4303322691817</v>
      </c>
      <c r="BY105" s="2">
        <v>0.0168759175466318</v>
      </c>
    </row>
    <row r="106" spans="1:77" ht="12.75">
      <c r="A106" s="24" t="s">
        <v>27</v>
      </c>
      <c r="B106" s="25"/>
      <c r="C106" s="89"/>
      <c r="D106" s="60"/>
      <c r="E106" s="90"/>
      <c r="F106" s="83"/>
      <c r="G106" s="76"/>
      <c r="M106" s="8"/>
      <c r="N106" s="8"/>
      <c r="P106" s="8"/>
      <c r="Q106" s="8"/>
      <c r="R106" s="8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34"/>
      <c r="AD106" s="22"/>
      <c r="AH106" s="98">
        <v>4.9790083790883415</v>
      </c>
      <c r="AI106" s="98">
        <v>0.01714285714285714</v>
      </c>
      <c r="AJ106" s="98">
        <v>2.595886586126385</v>
      </c>
      <c r="AK106" s="98">
        <v>0.007606837606837607</v>
      </c>
      <c r="AL106" s="81"/>
      <c r="AM106" s="98">
        <v>4.9790083790883415</v>
      </c>
      <c r="AN106" s="98">
        <v>0.0104</v>
      </c>
      <c r="AO106" s="81"/>
      <c r="AP106" s="98">
        <v>4.9790083790883415</v>
      </c>
      <c r="AQ106" s="98">
        <v>0.009116809116809118</v>
      </c>
      <c r="AR106" s="81"/>
      <c r="AS106" s="98">
        <v>4.9790083790883415</v>
      </c>
      <c r="AT106" s="98">
        <v>0.01042857142857143</v>
      </c>
      <c r="AU106" s="81"/>
      <c r="AV106" s="98">
        <v>4.9790083790883415</v>
      </c>
      <c r="AW106" s="98">
        <v>0.006695156695156694</v>
      </c>
      <c r="AX106" s="81"/>
      <c r="AY106" s="98">
        <v>4.9790083790883415</v>
      </c>
      <c r="AZ106" s="98">
        <v>0.009257142857142858</v>
      </c>
      <c r="BA106" s="81"/>
      <c r="BB106" s="98">
        <v>4.9790083790883415</v>
      </c>
      <c r="BC106" s="98">
        <v>0.0041025641025641026</v>
      </c>
      <c r="BF106">
        <v>40</v>
      </c>
      <c r="BG106">
        <v>39</v>
      </c>
      <c r="BH106" s="2">
        <v>1.62556804326369</v>
      </c>
      <c r="BI106" s="2">
        <v>0.0183018433823123</v>
      </c>
      <c r="BK106">
        <v>40</v>
      </c>
      <c r="BL106">
        <v>39</v>
      </c>
      <c r="BM106" s="2">
        <v>1.71104968634977</v>
      </c>
      <c r="BN106" s="2">
        <v>0.0183132311349889</v>
      </c>
      <c r="BP106">
        <v>40</v>
      </c>
      <c r="BQ106">
        <v>39</v>
      </c>
      <c r="BR106" s="2">
        <v>0.487707006353368</v>
      </c>
      <c r="BS106" s="2">
        <v>0.00887221851274656</v>
      </c>
      <c r="BV106">
        <v>40</v>
      </c>
      <c r="BW106">
        <v>39</v>
      </c>
      <c r="BX106" s="2">
        <v>1.86630241393773</v>
      </c>
      <c r="BY106" s="2">
        <v>0.0193235260145365</v>
      </c>
    </row>
    <row r="107" spans="1:77" ht="29.25">
      <c r="A107" s="6"/>
      <c r="B107" s="23" t="s">
        <v>14</v>
      </c>
      <c r="C107" s="91" t="s">
        <v>65</v>
      </c>
      <c r="D107" s="91" t="s">
        <v>66</v>
      </c>
      <c r="E107" s="91" t="s">
        <v>68</v>
      </c>
      <c r="F107" s="84" t="s">
        <v>64</v>
      </c>
      <c r="G107" s="77" t="s">
        <v>63</v>
      </c>
      <c r="H107" s="27" t="s">
        <v>62</v>
      </c>
      <c r="I107" s="27" t="s">
        <v>61</v>
      </c>
      <c r="M107" s="8"/>
      <c r="N107" s="8"/>
      <c r="P107" s="8"/>
      <c r="Q107" s="8"/>
      <c r="R107" s="9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34"/>
      <c r="AD107" s="22"/>
      <c r="AH107" s="98">
        <v>5.179474679231199</v>
      </c>
      <c r="AI107" s="98">
        <v>0.01714285714285714</v>
      </c>
      <c r="AJ107" s="98">
        <v>2.6826957952797166</v>
      </c>
      <c r="AK107" s="98">
        <v>0.007606837606837607</v>
      </c>
      <c r="AL107" s="81"/>
      <c r="AM107" s="98">
        <v>5.179474679231199</v>
      </c>
      <c r="AN107" s="98">
        <v>0.0104</v>
      </c>
      <c r="AO107" s="81"/>
      <c r="AP107" s="98">
        <v>5.179474679231199</v>
      </c>
      <c r="AQ107" s="98">
        <v>0.009116809116809118</v>
      </c>
      <c r="AR107" s="81"/>
      <c r="AS107" s="98">
        <v>5.179474679231199</v>
      </c>
      <c r="AT107" s="98">
        <v>0.01042857142857143</v>
      </c>
      <c r="AU107" s="81"/>
      <c r="AV107" s="98">
        <v>5.179474679231199</v>
      </c>
      <c r="AW107" s="98">
        <v>0.006695156695156694</v>
      </c>
      <c r="AX107" s="81"/>
      <c r="AY107" s="98">
        <v>5.179474679231199</v>
      </c>
      <c r="AZ107" s="98">
        <v>0.009257142857142858</v>
      </c>
      <c r="BA107" s="81"/>
      <c r="BB107" s="98">
        <v>5.179474679231199</v>
      </c>
      <c r="BC107" s="98">
        <v>0.0041025641025641026</v>
      </c>
      <c r="BF107">
        <v>41</v>
      </c>
      <c r="BG107">
        <v>40</v>
      </c>
      <c r="BH107" s="2">
        <v>2.11978881852453</v>
      </c>
      <c r="BI107" s="2">
        <v>0.020907215549382</v>
      </c>
      <c r="BK107">
        <v>41</v>
      </c>
      <c r="BL107">
        <v>40</v>
      </c>
      <c r="BM107" s="2">
        <v>2.50326685022951</v>
      </c>
      <c r="BN107" s="2">
        <v>0.0222010901278129</v>
      </c>
      <c r="BP107">
        <v>41</v>
      </c>
      <c r="BQ107">
        <v>40</v>
      </c>
      <c r="BR107" s="2">
        <v>0.699895194666996</v>
      </c>
      <c r="BS107" s="2">
        <v>0.010862732959985</v>
      </c>
      <c r="BV107">
        <v>41</v>
      </c>
      <c r="BW107">
        <v>40</v>
      </c>
      <c r="BX107" s="2">
        <v>2.73824270344977</v>
      </c>
      <c r="BY107" s="2">
        <v>0.0234269506325658</v>
      </c>
    </row>
    <row r="108" spans="1:77" ht="12">
      <c r="A108" s="6"/>
      <c r="B108" s="6">
        <v>0.5</v>
      </c>
      <c r="C108" s="85">
        <f>(15-9.81)*B108</f>
        <v>2.5949999999999998</v>
      </c>
      <c r="D108" s="86">
        <f>C108+20</f>
        <v>22.595</v>
      </c>
      <c r="E108" s="87">
        <f>C108*1.5</f>
        <v>3.8924999999999996</v>
      </c>
      <c r="F108" s="71">
        <f>$A$9/$G$7*LOG(E108/C108)</f>
        <v>0.004403351074054666</v>
      </c>
      <c r="G108" s="71">
        <f>$B$9/$G$7*LOG((D108)/E108)</f>
        <v>0.3060098011558774</v>
      </c>
      <c r="H108" s="17">
        <f>G113/20</f>
        <v>0.0078103230487452215</v>
      </c>
      <c r="I108" s="18">
        <f>$E$7/9.81/H108</f>
        <v>0.0024808380739262414</v>
      </c>
      <c r="M108" s="8"/>
      <c r="N108" s="8"/>
      <c r="P108" s="8"/>
      <c r="Q108" s="8"/>
      <c r="R108" s="9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34"/>
      <c r="AD108" s="22"/>
      <c r="AH108" s="98">
        <v>5.3880122125259735</v>
      </c>
      <c r="AI108" s="98">
        <v>0.01714285714285714</v>
      </c>
      <c r="AJ108" s="98">
        <v>2.772407996741765</v>
      </c>
      <c r="AK108" s="98">
        <v>0.007606837606837607</v>
      </c>
      <c r="AL108" s="81"/>
      <c r="AM108" s="98">
        <v>5.3880122125259735</v>
      </c>
      <c r="AN108" s="98">
        <v>0.0104</v>
      </c>
      <c r="AO108" s="81"/>
      <c r="AP108" s="98">
        <v>5.3880122125259735</v>
      </c>
      <c r="AQ108" s="98">
        <v>0.009116809116809118</v>
      </c>
      <c r="AR108" s="81"/>
      <c r="AS108" s="98">
        <v>5.3880122125259735</v>
      </c>
      <c r="AT108" s="98">
        <v>0.01042857142857143</v>
      </c>
      <c r="AU108" s="81"/>
      <c r="AV108" s="98">
        <v>5.3880122125259735</v>
      </c>
      <c r="AW108" s="98">
        <v>0.006695156695156694</v>
      </c>
      <c r="AX108" s="81"/>
      <c r="AY108" s="98">
        <v>5.3880122125259735</v>
      </c>
      <c r="AZ108" s="98">
        <v>0.010285714285714287</v>
      </c>
      <c r="BA108" s="81"/>
      <c r="BB108" s="98">
        <v>5.3880122125259735</v>
      </c>
      <c r="BC108" s="98">
        <v>0.004786324786324786</v>
      </c>
      <c r="BF108">
        <v>42</v>
      </c>
      <c r="BG108">
        <v>41</v>
      </c>
      <c r="BH108" s="2">
        <v>3.10823036904621</v>
      </c>
      <c r="BI108" s="2">
        <v>0.0252759490252977</v>
      </c>
      <c r="BK108">
        <v>42</v>
      </c>
      <c r="BL108">
        <v>41</v>
      </c>
      <c r="BM108" s="2">
        <v>3.29548401410926</v>
      </c>
      <c r="BN108" s="2">
        <v>0.0255734098550908</v>
      </c>
      <c r="BP108">
        <v>42</v>
      </c>
      <c r="BQ108">
        <v>41</v>
      </c>
      <c r="BR108" s="2">
        <v>0.912083382980624</v>
      </c>
      <c r="BS108" s="2">
        <v>0.0125644138072804</v>
      </c>
      <c r="BV108">
        <v>42</v>
      </c>
      <c r="BW108">
        <v>41</v>
      </c>
      <c r="BX108" s="2">
        <v>3.61018299296181</v>
      </c>
      <c r="BY108" s="2">
        <v>0.0269873085666287</v>
      </c>
    </row>
    <row r="109" spans="1:77" ht="12">
      <c r="A109" s="6"/>
      <c r="B109" s="6">
        <f>B108+1</f>
        <v>1.5</v>
      </c>
      <c r="C109" s="85">
        <f>(15-9.81)*B109</f>
        <v>7.784999999999999</v>
      </c>
      <c r="D109" s="86">
        <f>C109+20</f>
        <v>27.785</v>
      </c>
      <c r="E109" s="87">
        <f>C109*1.5</f>
        <v>11.677499999999998</v>
      </c>
      <c r="F109" s="71">
        <f>$A$9/$G$7*LOG(E109/C109)</f>
        <v>0.004403351074054666</v>
      </c>
      <c r="G109" s="71">
        <f>$B$9/$G$7*LOG((D109)/E109)</f>
        <v>0.15082883644077</v>
      </c>
      <c r="H109" s="6"/>
      <c r="I109" s="6"/>
      <c r="M109" s="8"/>
      <c r="N109" s="8"/>
      <c r="P109" s="8"/>
      <c r="Q109" s="8"/>
      <c r="R109" s="9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34"/>
      <c r="AD109" s="22"/>
      <c r="AH109" s="98">
        <v>5.604945945336318</v>
      </c>
      <c r="AI109" s="98">
        <v>0.02057142857142857</v>
      </c>
      <c r="AJ109" s="98">
        <v>2.8651202696637705</v>
      </c>
      <c r="AK109" s="98">
        <v>0.007606837606837607</v>
      </c>
      <c r="AL109" s="81"/>
      <c r="AM109" s="98">
        <v>5.604945945336318</v>
      </c>
      <c r="AN109" s="98">
        <v>0.013</v>
      </c>
      <c r="AO109" s="81"/>
      <c r="AP109" s="98">
        <v>5.604945945336318</v>
      </c>
      <c r="AQ109" s="98">
        <v>0.009116809116809118</v>
      </c>
      <c r="AR109" s="81"/>
      <c r="AS109" s="98">
        <v>5.604945945336318</v>
      </c>
      <c r="AT109" s="98">
        <v>0.012514285714285714</v>
      </c>
      <c r="AU109" s="81"/>
      <c r="AV109" s="98">
        <v>5.604945945336318</v>
      </c>
      <c r="AW109" s="98">
        <v>0.006695156695156694</v>
      </c>
      <c r="AX109" s="81"/>
      <c r="AY109" s="98">
        <v>5.604945945336318</v>
      </c>
      <c r="AZ109" s="98">
        <v>0.010285714285714287</v>
      </c>
      <c r="BA109" s="81"/>
      <c r="BB109" s="98">
        <v>5.604945945336318</v>
      </c>
      <c r="BC109" s="98">
        <v>0.004786324786324786</v>
      </c>
      <c r="BF109">
        <v>43</v>
      </c>
      <c r="BG109">
        <v>42</v>
      </c>
      <c r="BH109" s="2">
        <v>4.09667191956789</v>
      </c>
      <c r="BI109" s="2">
        <v>0.0290673765922304</v>
      </c>
      <c r="BK109">
        <v>43</v>
      </c>
      <c r="BL109">
        <v>42</v>
      </c>
      <c r="BM109" s="2">
        <v>4.87991834186875</v>
      </c>
      <c r="BN109" s="2">
        <v>0.0312043774691256</v>
      </c>
      <c r="BP109">
        <v>43</v>
      </c>
      <c r="BQ109">
        <v>42</v>
      </c>
      <c r="BR109" s="2">
        <v>1.33645975960788</v>
      </c>
      <c r="BS109" s="2">
        <v>0.0153945456472359</v>
      </c>
      <c r="BV109">
        <v>43</v>
      </c>
      <c r="BW109">
        <v>42</v>
      </c>
      <c r="BX109" s="2">
        <v>5.3540635719859</v>
      </c>
      <c r="BY109" s="2">
        <v>0.0329475632784439</v>
      </c>
    </row>
    <row r="110" spans="1:77" ht="12">
      <c r="A110" s="6"/>
      <c r="B110" s="6">
        <f>B109+1</f>
        <v>2.5</v>
      </c>
      <c r="C110" s="85">
        <f>(15-9.81)*B110</f>
        <v>12.974999999999998</v>
      </c>
      <c r="D110" s="86">
        <f>C110+20</f>
        <v>32.974999999999994</v>
      </c>
      <c r="E110" s="87">
        <f>C110*1.5</f>
        <v>19.4625</v>
      </c>
      <c r="F110" s="71">
        <f>$A$9/$G$7*LOG(E110/C110)</f>
        <v>0.004403351074054668</v>
      </c>
      <c r="G110" s="71">
        <f>$B$9/$G$7*LOG((D110)/E110)</f>
        <v>0.09174326809112748</v>
      </c>
      <c r="H110" s="6"/>
      <c r="I110" s="6"/>
      <c r="M110" s="8"/>
      <c r="N110" s="8"/>
      <c r="P110" s="8"/>
      <c r="Q110" s="8"/>
      <c r="R110" s="9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34"/>
      <c r="AD110" s="22"/>
      <c r="AH110" s="98">
        <v>5.830613927917223</v>
      </c>
      <c r="AI110" s="98">
        <v>0.02057142857142857</v>
      </c>
      <c r="AJ110" s="98">
        <v>2.960932939627073</v>
      </c>
      <c r="AK110" s="98">
        <v>0.007606837606837607</v>
      </c>
      <c r="AL110" s="81"/>
      <c r="AM110" s="98">
        <v>5.830613927917223</v>
      </c>
      <c r="AN110" s="98">
        <v>0.013</v>
      </c>
      <c r="AO110" s="81"/>
      <c r="AP110" s="98">
        <v>5.830613927917223</v>
      </c>
      <c r="AQ110" s="98">
        <v>0.009116809116809118</v>
      </c>
      <c r="AR110" s="81"/>
      <c r="AS110" s="98">
        <v>5.830613927917223</v>
      </c>
      <c r="AT110" s="98">
        <v>0.012514285714285714</v>
      </c>
      <c r="AU110" s="81"/>
      <c r="AV110" s="98">
        <v>5.830613927917223</v>
      </c>
      <c r="AW110" s="98">
        <v>0.006695156695156694</v>
      </c>
      <c r="AX110" s="81"/>
      <c r="AY110" s="98">
        <v>5.830613927917223</v>
      </c>
      <c r="AZ110" s="98">
        <v>0.011314285714285714</v>
      </c>
      <c r="BA110" s="81"/>
      <c r="BB110" s="98">
        <v>5.830613927917223</v>
      </c>
      <c r="BC110" s="98">
        <v>0.00547008547008547</v>
      </c>
      <c r="BF110">
        <v>44</v>
      </c>
      <c r="BG110">
        <v>43</v>
      </c>
      <c r="BH110" s="2">
        <v>6.07355502061124</v>
      </c>
      <c r="BI110" s="2">
        <v>0.0354087737958563</v>
      </c>
      <c r="BK110">
        <v>44</v>
      </c>
      <c r="BL110">
        <v>43</v>
      </c>
      <c r="BM110" s="2">
        <v>8.04878699738774</v>
      </c>
      <c r="BN110" s="2">
        <v>0.0401226783395417</v>
      </c>
      <c r="BP110">
        <v>44</v>
      </c>
      <c r="BQ110">
        <v>43</v>
      </c>
      <c r="BR110" s="2">
        <v>1.76083613623514</v>
      </c>
      <c r="BS110" s="2">
        <v>0.0178237605872655</v>
      </c>
      <c r="BV110">
        <v>44</v>
      </c>
      <c r="BW110">
        <v>43</v>
      </c>
      <c r="BX110" s="2">
        <v>7.09794415100999</v>
      </c>
      <c r="BY110" s="2">
        <v>0.0381098884481726</v>
      </c>
    </row>
    <row r="111" spans="1:77" ht="12">
      <c r="A111" s="6"/>
      <c r="B111" s="6">
        <f>B110+1</f>
        <v>3.5</v>
      </c>
      <c r="C111" s="85">
        <f>(15-9.81)*B111</f>
        <v>18.165</v>
      </c>
      <c r="D111" s="86">
        <f>C111+20</f>
        <v>38.165</v>
      </c>
      <c r="E111" s="87">
        <f>C111*1.5</f>
        <v>27.2475</v>
      </c>
      <c r="F111" s="71">
        <f>$A$9/$G$7*LOG(E111/C111)</f>
        <v>0.004403351074054666</v>
      </c>
      <c r="G111" s="71">
        <f>$B$9/$G$7*LOG((D111)/E111)</f>
        <v>0.05863053391562409</v>
      </c>
      <c r="H111" s="6"/>
      <c r="I111" s="6"/>
      <c r="M111" s="8"/>
      <c r="N111" s="8"/>
      <c r="P111" s="8"/>
      <c r="Q111" s="8"/>
      <c r="R111" s="9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34"/>
      <c r="AD111" s="22"/>
      <c r="AH111" s="98">
        <v>6.0653678212024955</v>
      </c>
      <c r="AI111" s="98">
        <v>0.02057142857142857</v>
      </c>
      <c r="AJ111" s="98">
        <v>3.059949687207185</v>
      </c>
      <c r="AK111" s="98">
        <v>0.007606837606837607</v>
      </c>
      <c r="AL111" s="81"/>
      <c r="AM111" s="98">
        <v>6.0653678212024955</v>
      </c>
      <c r="AN111" s="98">
        <v>0.013</v>
      </c>
      <c r="AO111" s="81"/>
      <c r="AP111" s="98">
        <v>6.0653678212024955</v>
      </c>
      <c r="AQ111" s="98">
        <v>0.01094017094017094</v>
      </c>
      <c r="AR111" s="81"/>
      <c r="AS111" s="98">
        <v>6.0653678212024955</v>
      </c>
      <c r="AT111" s="98">
        <v>0.012514285714285714</v>
      </c>
      <c r="AU111" s="81"/>
      <c r="AV111" s="98">
        <v>6.0653678212024955</v>
      </c>
      <c r="AW111" s="98">
        <v>0.008034188034188034</v>
      </c>
      <c r="AX111" s="81"/>
      <c r="AY111" s="98">
        <v>6.0653678212024955</v>
      </c>
      <c r="AZ111" s="98">
        <v>0.011314285714285714</v>
      </c>
      <c r="BA111" s="81"/>
      <c r="BB111" s="98">
        <v>6.0653678212024955</v>
      </c>
      <c r="BC111" s="98">
        <v>0.00547008547008547</v>
      </c>
      <c r="BF111">
        <v>45</v>
      </c>
      <c r="BG111">
        <v>44</v>
      </c>
      <c r="BH111" s="2">
        <v>10.0273212226979</v>
      </c>
      <c r="BI111" s="2">
        <v>0.0454913454011652</v>
      </c>
      <c r="BK111">
        <v>45</v>
      </c>
      <c r="BL111">
        <v>44</v>
      </c>
      <c r="BM111" s="2">
        <v>11.2176556529067</v>
      </c>
      <c r="BN111" s="2">
        <v>0.0475560086662379</v>
      </c>
      <c r="BP111">
        <v>45</v>
      </c>
      <c r="BQ111">
        <v>44</v>
      </c>
      <c r="BR111" s="2">
        <v>2.60958888948965</v>
      </c>
      <c r="BS111" s="2">
        <v>0.0218347516927652</v>
      </c>
      <c r="BV111">
        <v>45</v>
      </c>
      <c r="BW111">
        <v>44</v>
      </c>
      <c r="BX111" s="2">
        <v>10.5857053090582</v>
      </c>
      <c r="BY111" s="2">
        <v>0.0467253646321612</v>
      </c>
    </row>
    <row r="112" spans="3:77" ht="12">
      <c r="C112" s="60"/>
      <c r="D112" s="60"/>
      <c r="E112" s="60"/>
      <c r="F112" s="72">
        <f>SUM(F108:F111)/4</f>
        <v>0.004403351074054666</v>
      </c>
      <c r="G112" s="72">
        <f>SUM(G108:G111)/4</f>
        <v>0.15180310990084975</v>
      </c>
      <c r="H112" s="6"/>
      <c r="M112" s="8"/>
      <c r="N112" s="8"/>
      <c r="P112" s="8"/>
      <c r="Q112" s="8"/>
      <c r="R112" s="9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34"/>
      <c r="AD112" s="22"/>
      <c r="AH112" s="98">
        <v>6.3095734448019165</v>
      </c>
      <c r="AI112" s="98">
        <v>0.02057142857142857</v>
      </c>
      <c r="AJ112" s="98">
        <v>3.1622776601683684</v>
      </c>
      <c r="AK112" s="98">
        <v>0.007606837606837607</v>
      </c>
      <c r="AL112" s="81"/>
      <c r="AM112" s="98">
        <v>6.3095734448019165</v>
      </c>
      <c r="AN112" s="98">
        <v>0.013</v>
      </c>
      <c r="AO112" s="81"/>
      <c r="AP112" s="98">
        <v>6.3095734448019165</v>
      </c>
      <c r="AQ112" s="98">
        <v>0.01094017094017094</v>
      </c>
      <c r="AR112" s="81"/>
      <c r="AS112" s="98">
        <v>6.3095734448019165</v>
      </c>
      <c r="AT112" s="98">
        <v>0.012514285714285714</v>
      </c>
      <c r="AU112" s="81"/>
      <c r="AV112" s="98">
        <v>6.3095734448019165</v>
      </c>
      <c r="AW112" s="98">
        <v>0.008034188034188034</v>
      </c>
      <c r="AX112" s="81"/>
      <c r="AY112" s="98">
        <v>6.3095734448019165</v>
      </c>
      <c r="AZ112" s="98">
        <v>0.012342857142857143</v>
      </c>
      <c r="BA112" s="81"/>
      <c r="BB112" s="98">
        <v>6.3095734448019165</v>
      </c>
      <c r="BC112" s="98">
        <v>0.00547008547008547</v>
      </c>
      <c r="BF112">
        <v>46</v>
      </c>
      <c r="BG112">
        <v>45</v>
      </c>
      <c r="BH112" s="2">
        <v>17.9348536268714</v>
      </c>
      <c r="BI112" s="2">
        <v>0.0608022632185315</v>
      </c>
      <c r="BK112">
        <v>46</v>
      </c>
      <c r="BL112">
        <v>45</v>
      </c>
      <c r="BM112" s="2">
        <v>14.3865243084257</v>
      </c>
      <c r="BN112" s="2">
        <v>0.0539946513846044</v>
      </c>
      <c r="BP112">
        <v>46</v>
      </c>
      <c r="BQ112">
        <v>45</v>
      </c>
      <c r="BR112" s="2">
        <v>3.45834164274416</v>
      </c>
      <c r="BS112" s="2">
        <v>0.0252562060803773</v>
      </c>
      <c r="BV112">
        <v>46</v>
      </c>
      <c r="BW112">
        <v>45</v>
      </c>
      <c r="BX112" s="2">
        <v>17.5612276251545</v>
      </c>
      <c r="BY112" s="2">
        <v>0.0604286452296397</v>
      </c>
    </row>
    <row r="113" spans="3:77" ht="12.75">
      <c r="C113" s="60"/>
      <c r="D113" s="60"/>
      <c r="E113" s="60"/>
      <c r="F113" s="74" t="s">
        <v>17</v>
      </c>
      <c r="G113" s="73">
        <f>G112+F112</f>
        <v>0.15620646097490443</v>
      </c>
      <c r="H113" s="6"/>
      <c r="M113" s="8"/>
      <c r="N113" s="8"/>
      <c r="P113" s="8"/>
      <c r="Q113" s="8"/>
      <c r="R113" s="9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34"/>
      <c r="AD113" s="22"/>
      <c r="AH113" s="98">
        <v>6.563611347062018</v>
      </c>
      <c r="AI113" s="98">
        <v>0.024</v>
      </c>
      <c r="AJ113" s="98">
        <v>3.2680275894101145</v>
      </c>
      <c r="AK113" s="98">
        <v>0.007606837606837607</v>
      </c>
      <c r="AL113" s="81"/>
      <c r="AM113" s="98">
        <v>6.563611347062018</v>
      </c>
      <c r="AN113" s="98">
        <v>0.0156</v>
      </c>
      <c r="AO113" s="81"/>
      <c r="AP113" s="98">
        <v>6.563611347062018</v>
      </c>
      <c r="AQ113" s="98">
        <v>0.01094017094017094</v>
      </c>
      <c r="AR113" s="81"/>
      <c r="AS113" s="98">
        <v>6.563611347062018</v>
      </c>
      <c r="AT113" s="98">
        <v>0.0146</v>
      </c>
      <c r="AU113" s="81"/>
      <c r="AV113" s="98">
        <v>6.563611347062018</v>
      </c>
      <c r="AW113" s="98">
        <v>0.008034188034188034</v>
      </c>
      <c r="AX113" s="81"/>
      <c r="AY113" s="98">
        <v>6.563611347062018</v>
      </c>
      <c r="AZ113" s="98">
        <v>0.012342857142857143</v>
      </c>
      <c r="BA113" s="81"/>
      <c r="BB113" s="98">
        <v>6.563611347062018</v>
      </c>
      <c r="BC113" s="98">
        <v>0.006153846153846154</v>
      </c>
      <c r="BF113">
        <v>47</v>
      </c>
      <c r="BG113">
        <v>46</v>
      </c>
      <c r="BH113" s="2">
        <v>25.8423860310448</v>
      </c>
      <c r="BI113" s="2">
        <v>0.0732524127880248</v>
      </c>
      <c r="BK113">
        <v>47</v>
      </c>
      <c r="BL113">
        <v>46</v>
      </c>
      <c r="BM113" s="2">
        <v>20.7242616194637</v>
      </c>
      <c r="BN113" s="2">
        <v>0.0646340354577523</v>
      </c>
      <c r="BP113">
        <v>47</v>
      </c>
      <c r="BQ113">
        <v>46</v>
      </c>
      <c r="BR113" s="2">
        <v>4.30709439599867</v>
      </c>
      <c r="BS113" s="2">
        <v>0.0282659765031417</v>
      </c>
      <c r="BV113">
        <v>47</v>
      </c>
      <c r="BW113">
        <v>46</v>
      </c>
      <c r="BX113" s="2">
        <v>31.5122722573472</v>
      </c>
      <c r="BY113" s="2">
        <v>0.0813399341305199</v>
      </c>
    </row>
    <row r="114" spans="2:77" ht="12">
      <c r="B114" s="8"/>
      <c r="C114" s="88"/>
      <c r="D114" s="88"/>
      <c r="E114" s="88"/>
      <c r="F114" s="74" t="s">
        <v>15</v>
      </c>
      <c r="G114" s="74">
        <f>G113*4</f>
        <v>0.6248258438996177</v>
      </c>
      <c r="H114" s="6" t="s">
        <v>16</v>
      </c>
      <c r="M114" s="8"/>
      <c r="N114" s="8"/>
      <c r="P114" s="8"/>
      <c r="Q114" s="8"/>
      <c r="R114" s="9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34"/>
      <c r="AD114" s="22"/>
      <c r="AH114" s="98">
        <v>6.827877398078812</v>
      </c>
      <c r="AI114" s="98">
        <v>0.024</v>
      </c>
      <c r="AJ114" s="98">
        <v>3.3773139087909976</v>
      </c>
      <c r="AK114" s="98">
        <v>0.007606837606837607</v>
      </c>
      <c r="AL114" s="81"/>
      <c r="AM114" s="98">
        <v>6.827877398078812</v>
      </c>
      <c r="AN114" s="98">
        <v>0.0156</v>
      </c>
      <c r="AO114" s="81"/>
      <c r="AP114" s="98">
        <v>6.827877398078812</v>
      </c>
      <c r="AQ114" s="98">
        <v>0.01094017094017094</v>
      </c>
      <c r="AR114" s="81"/>
      <c r="AS114" s="98">
        <v>6.827877398078812</v>
      </c>
      <c r="AT114" s="98">
        <v>0.0146</v>
      </c>
      <c r="AU114" s="81"/>
      <c r="AV114" s="98">
        <v>6.827877398078812</v>
      </c>
      <c r="AW114" s="98">
        <v>0.008034188034188034</v>
      </c>
      <c r="AX114" s="81"/>
      <c r="AY114" s="98">
        <v>6.827877398078812</v>
      </c>
      <c r="AZ114" s="98">
        <v>0.013371428571428572</v>
      </c>
      <c r="BA114" s="81"/>
      <c r="BB114" s="98">
        <v>6.827877398078812</v>
      </c>
      <c r="BC114" s="98">
        <v>0.006153846153846154</v>
      </c>
      <c r="BF114">
        <v>48</v>
      </c>
      <c r="BG114">
        <v>47</v>
      </c>
      <c r="BH114" s="2">
        <v>33.7499184352182</v>
      </c>
      <c r="BI114" s="2">
        <v>0.0838625234291382</v>
      </c>
      <c r="BK114">
        <v>48</v>
      </c>
      <c r="BL114">
        <v>47</v>
      </c>
      <c r="BM114" s="2">
        <v>27.0619989305016</v>
      </c>
      <c r="BN114" s="2">
        <v>0.073693658271972</v>
      </c>
      <c r="BP114">
        <v>48</v>
      </c>
      <c r="BQ114">
        <v>47</v>
      </c>
      <c r="BR114" s="2">
        <v>6.0045999025077</v>
      </c>
      <c r="BS114" s="2">
        <v>0.0333184925627406</v>
      </c>
      <c r="BV114">
        <v>48</v>
      </c>
      <c r="BW114">
        <v>47</v>
      </c>
      <c r="BX114" s="2">
        <v>59.4143615217326</v>
      </c>
      <c r="BY114" s="2">
        <v>0.11205265831262</v>
      </c>
    </row>
    <row r="115" spans="2:77" ht="12">
      <c r="B115" s="8"/>
      <c r="C115" s="88"/>
      <c r="D115" s="88"/>
      <c r="E115" s="88"/>
      <c r="F115" s="46"/>
      <c r="G115" s="46"/>
      <c r="M115" s="8"/>
      <c r="N115" s="8"/>
      <c r="P115" s="8"/>
      <c r="Q115" s="8"/>
      <c r="R115" s="9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34"/>
      <c r="AD115" s="22"/>
      <c r="AH115" s="98">
        <v>7.102783406586579</v>
      </c>
      <c r="AI115" s="98">
        <v>0.024</v>
      </c>
      <c r="AJ115" s="98">
        <v>3.4902548789595675</v>
      </c>
      <c r="AK115" s="98">
        <v>0.007606837606837607</v>
      </c>
      <c r="AL115" s="81"/>
      <c r="AM115" s="98">
        <v>7.102783406586579</v>
      </c>
      <c r="AN115" s="98">
        <v>0.0156</v>
      </c>
      <c r="AO115" s="81"/>
      <c r="AP115" s="98">
        <v>7.102783406586579</v>
      </c>
      <c r="AQ115" s="98">
        <v>0.01094017094017094</v>
      </c>
      <c r="AR115" s="81"/>
      <c r="AS115" s="98">
        <v>7.102783406586579</v>
      </c>
      <c r="AT115" s="98">
        <v>0.0146</v>
      </c>
      <c r="AU115" s="81"/>
      <c r="AV115" s="98">
        <v>7.102783406586579</v>
      </c>
      <c r="AW115" s="98">
        <v>0.008034188034188034</v>
      </c>
      <c r="AX115" s="81"/>
      <c r="AY115" s="98">
        <v>7.102783406586579</v>
      </c>
      <c r="AZ115" s="98">
        <v>0.013371428571428572</v>
      </c>
      <c r="BA115" s="81"/>
      <c r="BB115" s="98">
        <v>7.102783406586579</v>
      </c>
      <c r="BC115" s="98">
        <v>0.006153846153846154</v>
      </c>
      <c r="BF115">
        <v>49</v>
      </c>
      <c r="BG115">
        <v>48</v>
      </c>
      <c r="BH115" s="2">
        <v>49.564983243565</v>
      </c>
      <c r="BI115" s="2">
        <v>0.101120302081483</v>
      </c>
      <c r="BK115">
        <v>49</v>
      </c>
      <c r="BL115">
        <v>48</v>
      </c>
      <c r="BM115" s="2">
        <v>33.3997362415396</v>
      </c>
      <c r="BN115" s="2">
        <v>0.0816450253152458</v>
      </c>
      <c r="BP115">
        <v>49</v>
      </c>
      <c r="BQ115">
        <v>48</v>
      </c>
      <c r="BR115" s="2">
        <v>7.70210540901672</v>
      </c>
      <c r="BS115" s="2">
        <v>0.0376577582913803</v>
      </c>
      <c r="BV115">
        <v>49</v>
      </c>
      <c r="BW115">
        <v>48</v>
      </c>
      <c r="BX115" s="2">
        <v>115.218540050503</v>
      </c>
      <c r="BY115" s="2">
        <v>0.155660144712991</v>
      </c>
    </row>
    <row r="116" spans="1:77" ht="12.75">
      <c r="A116" s="24" t="s">
        <v>26</v>
      </c>
      <c r="B116" s="25"/>
      <c r="C116" s="89"/>
      <c r="D116" s="60"/>
      <c r="E116" s="90"/>
      <c r="F116" s="83"/>
      <c r="G116" s="76"/>
      <c r="M116" s="8"/>
      <c r="N116" s="8"/>
      <c r="P116" s="8"/>
      <c r="Q116" s="8"/>
      <c r="R116" s="9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34"/>
      <c r="AD116" s="22"/>
      <c r="AH116" s="98">
        <v>7.388757761684011</v>
      </c>
      <c r="AI116" s="98">
        <v>0.024</v>
      </c>
      <c r="AJ116" s="98">
        <v>3.606972715326277</v>
      </c>
      <c r="AK116" s="98">
        <v>0.007606837606837607</v>
      </c>
      <c r="AL116" s="81"/>
      <c r="AM116" s="98">
        <v>7.388757761684011</v>
      </c>
      <c r="AN116" s="98">
        <v>0.0156</v>
      </c>
      <c r="AO116" s="81"/>
      <c r="AP116" s="98">
        <v>7.388757761684011</v>
      </c>
      <c r="AQ116" s="98">
        <v>0.01094017094017094</v>
      </c>
      <c r="AR116" s="81"/>
      <c r="AS116" s="98">
        <v>7.388757761684011</v>
      </c>
      <c r="AT116" s="98">
        <v>0.0146</v>
      </c>
      <c r="AU116" s="81"/>
      <c r="AV116" s="98">
        <v>7.388757761684011</v>
      </c>
      <c r="AW116" s="98">
        <v>0.008034188034188034</v>
      </c>
      <c r="AX116" s="81"/>
      <c r="AY116" s="98">
        <v>7.388757761684011</v>
      </c>
      <c r="AZ116" s="98">
        <v>0.0144</v>
      </c>
      <c r="BA116" s="81"/>
      <c r="BB116" s="98">
        <v>7.388757761684011</v>
      </c>
      <c r="BC116" s="98">
        <v>0.006153846153846154</v>
      </c>
      <c r="BF116">
        <v>50</v>
      </c>
      <c r="BG116">
        <v>49</v>
      </c>
      <c r="BH116" s="2">
        <v>65.3800480519119</v>
      </c>
      <c r="BI116" s="2">
        <v>0.11567219043365</v>
      </c>
      <c r="BK116">
        <v>50</v>
      </c>
      <c r="BL116">
        <v>49</v>
      </c>
      <c r="BM116" s="2">
        <v>39.7374735525776</v>
      </c>
      <c r="BN116" s="2">
        <v>0.0887676735031424</v>
      </c>
      <c r="BP116">
        <v>50</v>
      </c>
      <c r="BQ116">
        <v>49</v>
      </c>
      <c r="BR116" s="2">
        <v>9.39961091552575</v>
      </c>
      <c r="BS116" s="2">
        <v>0.0414836907429878</v>
      </c>
      <c r="BV116">
        <v>50</v>
      </c>
      <c r="BW116">
        <v>49</v>
      </c>
      <c r="BX116" s="2">
        <v>226.826897108045</v>
      </c>
      <c r="BY116" s="2">
        <v>0.215961682603363</v>
      </c>
    </row>
    <row r="117" spans="1:77" ht="29.25">
      <c r="A117" s="6"/>
      <c r="B117" s="23" t="s">
        <v>14</v>
      </c>
      <c r="C117" s="91" t="s">
        <v>65</v>
      </c>
      <c r="D117" s="91" t="s">
        <v>66</v>
      </c>
      <c r="E117" s="91" t="s">
        <v>68</v>
      </c>
      <c r="F117" s="84" t="s">
        <v>64</v>
      </c>
      <c r="G117" s="77" t="s">
        <v>63</v>
      </c>
      <c r="H117" s="27" t="s">
        <v>62</v>
      </c>
      <c r="I117" s="27" t="s">
        <v>61</v>
      </c>
      <c r="M117" s="8"/>
      <c r="N117" s="8"/>
      <c r="P117" s="8"/>
      <c r="Q117" s="8"/>
      <c r="R117" s="9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34"/>
      <c r="AD117" s="22"/>
      <c r="AH117" s="98">
        <v>7.686246100397718</v>
      </c>
      <c r="AI117" s="98">
        <v>0.027428571428571427</v>
      </c>
      <c r="AJ117" s="98">
        <v>3.7275937203149256</v>
      </c>
      <c r="AK117" s="98">
        <v>0.010142450142450143</v>
      </c>
      <c r="AL117" s="81"/>
      <c r="AM117" s="98">
        <v>7.686246100397718</v>
      </c>
      <c r="AN117" s="98">
        <v>0.0182</v>
      </c>
      <c r="AO117" s="81"/>
      <c r="AP117" s="98">
        <v>7.686246100397718</v>
      </c>
      <c r="AQ117" s="98">
        <v>0.01094017094017094</v>
      </c>
      <c r="AR117" s="81"/>
      <c r="AS117" s="98">
        <v>7.686246100397718</v>
      </c>
      <c r="AT117" s="98">
        <v>0.016685714285714286</v>
      </c>
      <c r="AU117" s="81"/>
      <c r="AV117" s="98">
        <v>7.686246100397718</v>
      </c>
      <c r="AW117" s="98">
        <v>0.008034188034188034</v>
      </c>
      <c r="AX117" s="81"/>
      <c r="AY117" s="98">
        <v>7.686246100397718</v>
      </c>
      <c r="AZ117" s="98">
        <v>0.0144</v>
      </c>
      <c r="BA117" s="81"/>
      <c r="BB117" s="98">
        <v>7.686246100397718</v>
      </c>
      <c r="BC117" s="98">
        <v>0.006837606837606838</v>
      </c>
      <c r="BF117">
        <v>51</v>
      </c>
      <c r="BG117">
        <v>50</v>
      </c>
      <c r="BH117" s="2">
        <v>97.0101776686055</v>
      </c>
      <c r="BI117" s="2">
        <v>0.139030218606093</v>
      </c>
      <c r="BK117">
        <v>51</v>
      </c>
      <c r="BL117">
        <v>50</v>
      </c>
      <c r="BM117" s="2">
        <v>52.4129481746535</v>
      </c>
      <c r="BN117" s="2">
        <v>0.10095622503772</v>
      </c>
      <c r="BP117">
        <v>51</v>
      </c>
      <c r="BQ117">
        <v>50</v>
      </c>
      <c r="BR117" s="2">
        <v>11.0971164220348</v>
      </c>
      <c r="BS117" s="2">
        <v>0.0449207937688706</v>
      </c>
      <c r="BV117">
        <v>51</v>
      </c>
      <c r="BW117">
        <v>50</v>
      </c>
      <c r="BX117" s="2">
        <v>338.435254165587</v>
      </c>
      <c r="BY117" s="2">
        <v>0.262465926582344</v>
      </c>
    </row>
    <row r="118" spans="1:77" ht="12">
      <c r="A118" s="6"/>
      <c r="B118" s="6">
        <v>0.25</v>
      </c>
      <c r="C118" s="85">
        <f aca="true" t="shared" si="26" ref="C118:C125">(15-9.81)*B118</f>
        <v>1.2974999999999999</v>
      </c>
      <c r="D118" s="86">
        <f aca="true" t="shared" si="27" ref="D118:D125">C118+20</f>
        <v>21.2975</v>
      </c>
      <c r="E118" s="87">
        <f>C118*1.5</f>
        <v>1.9462499999999998</v>
      </c>
      <c r="F118" s="71">
        <f aca="true" t="shared" si="28" ref="F118:F125">$A$9/$G$7*LOG(E118/C118)</f>
        <v>0.004403351074054666</v>
      </c>
      <c r="G118" s="71">
        <f aca="true" t="shared" si="29" ref="G118:G125">$B$9/$G$7*LOG((D118+G$116)/(E118+G$116))</f>
        <v>0.416327233633769</v>
      </c>
      <c r="H118" s="17">
        <f>G127/20</f>
        <v>0.008161396747308028</v>
      </c>
      <c r="I118" s="44">
        <f>$E$7/9.81/H118</f>
        <v>0.002374121414374555</v>
      </c>
      <c r="J118" s="4" t="s">
        <v>28</v>
      </c>
      <c r="M118" s="8"/>
      <c r="N118" s="8"/>
      <c r="P118" s="8"/>
      <c r="Q118" s="8"/>
      <c r="R118" s="9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34"/>
      <c r="AD118" s="22"/>
      <c r="AH118" s="98">
        <v>7.995712002123381</v>
      </c>
      <c r="AI118" s="98">
        <v>0.027428571428571427</v>
      </c>
      <c r="AJ118" s="98">
        <v>3.8522484200367364</v>
      </c>
      <c r="AK118" s="98">
        <v>0.010142450142450143</v>
      </c>
      <c r="AL118" s="81"/>
      <c r="AM118" s="98">
        <v>7.995712002123381</v>
      </c>
      <c r="AN118" s="98">
        <v>0.0182</v>
      </c>
      <c r="AO118" s="81"/>
      <c r="AP118" s="98">
        <v>7.995712002123381</v>
      </c>
      <c r="AQ118" s="98">
        <v>0.01094017094017094</v>
      </c>
      <c r="AR118" s="81"/>
      <c r="AS118" s="98">
        <v>7.995712002123381</v>
      </c>
      <c r="AT118" s="98">
        <v>0.016685714285714286</v>
      </c>
      <c r="AU118" s="81"/>
      <c r="AV118" s="98">
        <v>7.995712002123381</v>
      </c>
      <c r="AW118" s="98">
        <v>0.009373219373219372</v>
      </c>
      <c r="AX118" s="81"/>
      <c r="AY118" s="98">
        <v>7.995712002123381</v>
      </c>
      <c r="AZ118" s="98">
        <v>0.015428571428571429</v>
      </c>
      <c r="BA118" s="81"/>
      <c r="BB118" s="98">
        <v>7.995712002123381</v>
      </c>
      <c r="BC118" s="98">
        <v>0.006837606837606838</v>
      </c>
      <c r="BF118">
        <v>52</v>
      </c>
      <c r="BG118">
        <v>51</v>
      </c>
      <c r="BH118" s="2">
        <v>128.640307285299</v>
      </c>
      <c r="BI118" s="2">
        <v>0.158495011613563</v>
      </c>
      <c r="BK118">
        <v>52</v>
      </c>
      <c r="BL118">
        <v>51</v>
      </c>
      <c r="BM118" s="2">
        <v>65.0884227967295</v>
      </c>
      <c r="BN118" s="2">
        <v>0.111545691255766</v>
      </c>
      <c r="BP118">
        <v>52</v>
      </c>
      <c r="BQ118">
        <v>51</v>
      </c>
      <c r="BR118" s="2">
        <v>14.4921274350528</v>
      </c>
      <c r="BS118" s="2">
        <v>0.0508119167954642</v>
      </c>
      <c r="BV118">
        <v>52</v>
      </c>
      <c r="BW118">
        <v>51</v>
      </c>
      <c r="BX118" s="2">
        <v>561.65196828067</v>
      </c>
      <c r="BY118" s="2">
        <v>0.331522375003328</v>
      </c>
    </row>
    <row r="119" spans="1:77" ht="12">
      <c r="A119" s="6"/>
      <c r="B119" s="6">
        <f>B118+0.5</f>
        <v>0.75</v>
      </c>
      <c r="C119" s="85">
        <f t="shared" si="26"/>
        <v>3.8924999999999996</v>
      </c>
      <c r="D119" s="86">
        <f t="shared" si="27"/>
        <v>23.8925</v>
      </c>
      <c r="E119" s="87">
        <f aca="true" t="shared" si="30" ref="E119:E125">C119*1.5</f>
        <v>5.838749999999999</v>
      </c>
      <c r="F119" s="71">
        <f t="shared" si="28"/>
        <v>0.004403351074054666</v>
      </c>
      <c r="G119" s="71">
        <f t="shared" si="29"/>
        <v>0.24517432926237892</v>
      </c>
      <c r="H119" s="6"/>
      <c r="I119" s="6"/>
      <c r="M119" s="8"/>
      <c r="N119" s="8"/>
      <c r="P119" s="8"/>
      <c r="Q119" s="8"/>
      <c r="R119" s="9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34"/>
      <c r="AD119" s="22"/>
      <c r="AH119" s="98">
        <v>8.317637711026688</v>
      </c>
      <c r="AI119" s="98">
        <v>0.027428571428571427</v>
      </c>
      <c r="AJ119" s="98">
        <v>3.981071705534956</v>
      </c>
      <c r="AK119" s="98">
        <v>0.010142450142450143</v>
      </c>
      <c r="AL119" s="81"/>
      <c r="AM119" s="98">
        <v>8.317637711026688</v>
      </c>
      <c r="AN119" s="98">
        <v>0.0182</v>
      </c>
      <c r="AO119" s="81"/>
      <c r="AP119" s="98">
        <v>8.317637711026688</v>
      </c>
      <c r="AQ119" s="98">
        <v>0.01094017094017094</v>
      </c>
      <c r="AR119" s="81"/>
      <c r="AS119" s="98">
        <v>8.317637711026688</v>
      </c>
      <c r="AT119" s="98">
        <v>0.016685714285714286</v>
      </c>
      <c r="AU119" s="81"/>
      <c r="AV119" s="98">
        <v>8.317637711026688</v>
      </c>
      <c r="AW119" s="98">
        <v>0.009373219373219372</v>
      </c>
      <c r="AX119" s="81"/>
      <c r="AY119" s="98">
        <v>8.317637711026688</v>
      </c>
      <c r="AZ119" s="98">
        <v>0.016457142857142858</v>
      </c>
      <c r="BA119" s="81"/>
      <c r="BB119" s="98">
        <v>8.317637711026688</v>
      </c>
      <c r="BC119" s="98">
        <v>0.006837606837606838</v>
      </c>
      <c r="BF119">
        <v>53</v>
      </c>
      <c r="BG119">
        <v>52</v>
      </c>
      <c r="BH119" s="2">
        <v>160.270436901993</v>
      </c>
      <c r="BI119" s="2">
        <v>0.175301695001898</v>
      </c>
      <c r="BK119">
        <v>53</v>
      </c>
      <c r="BL119">
        <v>52</v>
      </c>
      <c r="BM119" s="2">
        <v>77.7638974188054</v>
      </c>
      <c r="BN119" s="2">
        <v>0.12095662285511</v>
      </c>
      <c r="BP119">
        <v>53</v>
      </c>
      <c r="BQ119">
        <v>52</v>
      </c>
      <c r="BR119" s="2">
        <v>17.8871384480709</v>
      </c>
      <c r="BS119" s="2">
        <v>0.0559266555000463</v>
      </c>
      <c r="BV119">
        <v>53</v>
      </c>
      <c r="BW119">
        <v>52</v>
      </c>
      <c r="BX119" s="2">
        <v>1008.08539651084</v>
      </c>
      <c r="BY119" s="2">
        <v>0.429299623771472</v>
      </c>
    </row>
    <row r="120" spans="1:77" ht="12">
      <c r="A120" s="6"/>
      <c r="B120" s="6">
        <f aca="true" t="shared" si="31" ref="B120:B125">B119+0.5</f>
        <v>1.25</v>
      </c>
      <c r="C120" s="85">
        <f t="shared" si="26"/>
        <v>6.487499999999999</v>
      </c>
      <c r="D120" s="86">
        <f t="shared" si="27"/>
        <v>26.487499999999997</v>
      </c>
      <c r="E120" s="87">
        <f t="shared" si="30"/>
        <v>9.73125</v>
      </c>
      <c r="F120" s="71">
        <f t="shared" si="28"/>
        <v>0.004403351074054668</v>
      </c>
      <c r="G120" s="71">
        <f t="shared" si="29"/>
        <v>0.17423151865699882</v>
      </c>
      <c r="H120" s="6"/>
      <c r="I120" s="6"/>
      <c r="M120" s="8"/>
      <c r="N120" s="8"/>
      <c r="P120" s="8"/>
      <c r="Q120" s="8"/>
      <c r="R120" s="9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34"/>
      <c r="AD120" s="22"/>
      <c r="AH120" s="98">
        <v>8.6525248875298</v>
      </c>
      <c r="AI120" s="98">
        <v>0.030857142857142854</v>
      </c>
      <c r="AJ120" s="98">
        <v>4.114202978752824</v>
      </c>
      <c r="AK120" s="98">
        <v>0.010142450142450143</v>
      </c>
      <c r="AL120" s="81"/>
      <c r="AM120" s="98">
        <v>8.6525248875298</v>
      </c>
      <c r="AN120" s="98">
        <v>0.0208</v>
      </c>
      <c r="AO120" s="81"/>
      <c r="AP120" s="98">
        <v>8.6525248875298</v>
      </c>
      <c r="AQ120" s="98">
        <v>0.01094017094017094</v>
      </c>
      <c r="AR120" s="81"/>
      <c r="AS120" s="98">
        <v>8.6525248875298</v>
      </c>
      <c r="AT120" s="98">
        <v>0.01877142857142857</v>
      </c>
      <c r="AU120" s="81"/>
      <c r="AV120" s="98">
        <v>8.6525248875298</v>
      </c>
      <c r="AW120" s="98">
        <v>0.009373219373219372</v>
      </c>
      <c r="AX120" s="81"/>
      <c r="AY120" s="98">
        <v>8.6525248875298</v>
      </c>
      <c r="AZ120" s="98">
        <v>0.016457142857142858</v>
      </c>
      <c r="BA120" s="81"/>
      <c r="BB120" s="98">
        <v>8.6525248875298</v>
      </c>
      <c r="BC120" s="98">
        <v>0.007521367521367521</v>
      </c>
      <c r="BF120">
        <v>54</v>
      </c>
      <c r="BG120">
        <v>53</v>
      </c>
      <c r="BH120" s="2">
        <v>223.53069613538</v>
      </c>
      <c r="BI120" s="2">
        <v>0.202844384165209</v>
      </c>
      <c r="BK120">
        <v>54</v>
      </c>
      <c r="BL120">
        <v>53</v>
      </c>
      <c r="BM120" s="2">
        <v>90.4393720408813</v>
      </c>
      <c r="BN120" s="2">
        <v>0.129453643541384</v>
      </c>
      <c r="BP120">
        <v>54</v>
      </c>
      <c r="BQ120">
        <v>53</v>
      </c>
      <c r="BR120" s="2">
        <v>21.2821494610889</v>
      </c>
      <c r="BS120" s="2">
        <v>0.06046531887961</v>
      </c>
      <c r="BV120">
        <v>54</v>
      </c>
      <c r="BW120">
        <v>53</v>
      </c>
      <c r="BX120" s="2">
        <v>1900.95225297117</v>
      </c>
      <c r="BY120" s="2">
        <v>0.558713276306123</v>
      </c>
    </row>
    <row r="121" spans="1:77" ht="12">
      <c r="A121" s="6"/>
      <c r="B121" s="6">
        <f t="shared" si="31"/>
        <v>1.75</v>
      </c>
      <c r="C121" s="85">
        <f t="shared" si="26"/>
        <v>9.0825</v>
      </c>
      <c r="D121" s="86">
        <f t="shared" si="27"/>
        <v>29.0825</v>
      </c>
      <c r="E121" s="87">
        <f t="shared" si="30"/>
        <v>13.62375</v>
      </c>
      <c r="F121" s="71">
        <f t="shared" si="28"/>
        <v>0.004403351074054666</v>
      </c>
      <c r="G121" s="71">
        <f t="shared" si="29"/>
        <v>0.1319480324348076</v>
      </c>
      <c r="H121" s="6"/>
      <c r="I121" s="6"/>
      <c r="M121" s="8"/>
      <c r="N121" s="8"/>
      <c r="P121" s="8"/>
      <c r="Q121" s="8"/>
      <c r="R121" s="9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34"/>
      <c r="AD121" s="22"/>
      <c r="AH121" s="98">
        <v>9.00089539005438</v>
      </c>
      <c r="AI121" s="98">
        <v>0.030857142857142854</v>
      </c>
      <c r="AJ121" s="98">
        <v>4.251786303382872</v>
      </c>
      <c r="AK121" s="98">
        <v>0.010142450142450143</v>
      </c>
      <c r="AL121" s="81"/>
      <c r="AM121" s="98">
        <v>9.00089539005438</v>
      </c>
      <c r="AN121" s="98">
        <v>0.0208</v>
      </c>
      <c r="AO121" s="81"/>
      <c r="AP121" s="98">
        <v>9.00089539005438</v>
      </c>
      <c r="AQ121" s="98">
        <v>0.012763532763532764</v>
      </c>
      <c r="AR121" s="81"/>
      <c r="AS121" s="98">
        <v>9.00089539005438</v>
      </c>
      <c r="AT121" s="98">
        <v>0.01877142857142857</v>
      </c>
      <c r="AU121" s="81"/>
      <c r="AV121" s="98">
        <v>9.00089539005438</v>
      </c>
      <c r="AW121" s="98">
        <v>0.010712250712250711</v>
      </c>
      <c r="AX121" s="81"/>
      <c r="AY121" s="98">
        <v>9.00089539005438</v>
      </c>
      <c r="AZ121" s="98">
        <v>0.017485714285714285</v>
      </c>
      <c r="BA121" s="81"/>
      <c r="BB121" s="98">
        <v>9.00089539005438</v>
      </c>
      <c r="BC121" s="98">
        <v>0.007521367521367521</v>
      </c>
      <c r="BF121">
        <v>55</v>
      </c>
      <c r="BG121">
        <v>54</v>
      </c>
      <c r="BH121" s="2">
        <v>286.790955368767</v>
      </c>
      <c r="BI121" s="2">
        <v>0.226004331067005</v>
      </c>
      <c r="BK121">
        <v>55</v>
      </c>
      <c r="BL121">
        <v>54</v>
      </c>
      <c r="BM121" s="2">
        <v>115.790321285033</v>
      </c>
      <c r="BN121" s="2">
        <v>0.144105873740674</v>
      </c>
      <c r="BP121">
        <v>55</v>
      </c>
      <c r="BQ121">
        <v>54</v>
      </c>
      <c r="BR121" s="2">
        <v>24.677160474107</v>
      </c>
      <c r="BS121" s="2">
        <v>0.0645550678415668</v>
      </c>
      <c r="BV121">
        <v>55</v>
      </c>
      <c r="BW121">
        <v>54</v>
      </c>
      <c r="BX121" s="2">
        <v>3686.68596589184</v>
      </c>
      <c r="BY121" s="2">
        <v>0.701402212200553</v>
      </c>
    </row>
    <row r="122" spans="1:77" ht="12">
      <c r="A122" s="6"/>
      <c r="B122" s="6">
        <f t="shared" si="31"/>
        <v>2.25</v>
      </c>
      <c r="C122" s="85">
        <f t="shared" si="26"/>
        <v>11.677499999999998</v>
      </c>
      <c r="D122" s="86">
        <f t="shared" si="27"/>
        <v>31.6775</v>
      </c>
      <c r="E122" s="87">
        <f t="shared" si="30"/>
        <v>17.51625</v>
      </c>
      <c r="F122" s="71">
        <f t="shared" si="28"/>
        <v>0.004403351074054668</v>
      </c>
      <c r="G122" s="71">
        <f t="shared" si="29"/>
        <v>0.10309110730482263</v>
      </c>
      <c r="H122" s="6"/>
      <c r="I122" s="6"/>
      <c r="M122" s="8"/>
      <c r="N122" s="8"/>
      <c r="P122" s="8"/>
      <c r="Q122" s="8"/>
      <c r="R122" s="9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34"/>
      <c r="AD122" s="22"/>
      <c r="AH122" s="98">
        <v>9.363292088239389</v>
      </c>
      <c r="AI122" s="98">
        <v>0.030857142857142854</v>
      </c>
      <c r="AJ122" s="98">
        <v>4.3939705607607715</v>
      </c>
      <c r="AK122" s="98">
        <v>0.010142450142450143</v>
      </c>
      <c r="AL122" s="81"/>
      <c r="AM122" s="98">
        <v>9.363292088239389</v>
      </c>
      <c r="AN122" s="98">
        <v>0.0208</v>
      </c>
      <c r="AO122" s="81"/>
      <c r="AP122" s="98">
        <v>9.363292088239389</v>
      </c>
      <c r="AQ122" s="98">
        <v>0.012763532763532764</v>
      </c>
      <c r="AR122" s="81"/>
      <c r="AS122" s="98">
        <v>9.363292088239389</v>
      </c>
      <c r="AT122" s="98">
        <v>0.01877142857142857</v>
      </c>
      <c r="AU122" s="81"/>
      <c r="AV122" s="98">
        <v>9.363292088239389</v>
      </c>
      <c r="AW122" s="98">
        <v>0.010712250712250711</v>
      </c>
      <c r="AX122" s="81"/>
      <c r="AY122" s="98">
        <v>9.363292088239389</v>
      </c>
      <c r="AZ122" s="98">
        <v>0.018514285714285716</v>
      </c>
      <c r="BA122" s="81"/>
      <c r="BB122" s="98">
        <v>9.363292088239389</v>
      </c>
      <c r="BC122" s="98">
        <v>0.007521367521367521</v>
      </c>
      <c r="BF122">
        <v>56</v>
      </c>
      <c r="BG122">
        <v>55</v>
      </c>
      <c r="BH122" s="2">
        <v>350.051214602155</v>
      </c>
      <c r="BI122" s="2">
        <v>0.246077613351674</v>
      </c>
      <c r="BK122">
        <v>56</v>
      </c>
      <c r="BL122">
        <v>55</v>
      </c>
      <c r="BM122" s="2">
        <v>141.141270529185</v>
      </c>
      <c r="BN122" s="2">
        <v>0.156857835784527</v>
      </c>
      <c r="BP122">
        <v>56</v>
      </c>
      <c r="BQ122">
        <v>55</v>
      </c>
      <c r="BR122" s="2">
        <v>28.072171487125</v>
      </c>
      <c r="BS122" s="2">
        <v>0.0682835265273741</v>
      </c>
      <c r="BV122">
        <v>56</v>
      </c>
      <c r="BW122">
        <v>55</v>
      </c>
      <c r="BX122" s="2">
        <v>7258.15339173317</v>
      </c>
      <c r="BY122" s="2">
        <v>0.806275316148793</v>
      </c>
    </row>
    <row r="123" spans="1:77" ht="12">
      <c r="A123" s="6"/>
      <c r="B123" s="6">
        <f t="shared" si="31"/>
        <v>2.75</v>
      </c>
      <c r="C123" s="85">
        <f t="shared" si="26"/>
        <v>14.272499999999999</v>
      </c>
      <c r="D123" s="86">
        <f t="shared" si="27"/>
        <v>34.2725</v>
      </c>
      <c r="E123" s="87">
        <f t="shared" si="30"/>
        <v>21.408749999999998</v>
      </c>
      <c r="F123" s="71">
        <f t="shared" si="28"/>
        <v>0.004403351074054666</v>
      </c>
      <c r="G123" s="71">
        <f t="shared" si="29"/>
        <v>0.08187458054724497</v>
      </c>
      <c r="H123" s="6"/>
      <c r="I123" s="6"/>
      <c r="M123" s="8"/>
      <c r="N123" s="8"/>
      <c r="P123" s="8"/>
      <c r="Q123" s="8"/>
      <c r="R123" s="9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34"/>
      <c r="AD123" s="22"/>
      <c r="AH123" s="98">
        <v>9.7402797089009</v>
      </c>
      <c r="AI123" s="98">
        <v>0.03428571428571428</v>
      </c>
      <c r="AJ123" s="98">
        <v>4.540909610972455</v>
      </c>
      <c r="AK123" s="98">
        <v>0.010142450142450143</v>
      </c>
      <c r="AL123" s="81"/>
      <c r="AM123" s="98">
        <v>9.7402797089009</v>
      </c>
      <c r="AN123" s="98">
        <v>0.023399999999999997</v>
      </c>
      <c r="AO123" s="81"/>
      <c r="AP123" s="98">
        <v>9.7402797089009</v>
      </c>
      <c r="AQ123" s="98">
        <v>0.012763532763532764</v>
      </c>
      <c r="AR123" s="81"/>
      <c r="AS123" s="98">
        <v>9.7402797089009</v>
      </c>
      <c r="AT123" s="98">
        <v>0.02085714285714286</v>
      </c>
      <c r="AU123" s="81"/>
      <c r="AV123" s="98">
        <v>9.7402797089009</v>
      </c>
      <c r="AW123" s="98">
        <v>0.010712250712250711</v>
      </c>
      <c r="AX123" s="81"/>
      <c r="AY123" s="98">
        <v>9.7402797089009</v>
      </c>
      <c r="AZ123" s="98">
        <v>0.019542857142857143</v>
      </c>
      <c r="BA123" s="81"/>
      <c r="BB123" s="98">
        <v>9.7402797089009</v>
      </c>
      <c r="BC123" s="98">
        <v>0.008205128205128205</v>
      </c>
      <c r="BF123">
        <v>57</v>
      </c>
      <c r="BG123">
        <v>56</v>
      </c>
      <c r="BH123" s="2">
        <v>476.571733068929</v>
      </c>
      <c r="BI123" s="2">
        <v>0.278989540449175</v>
      </c>
      <c r="BK123">
        <v>57</v>
      </c>
      <c r="BL123">
        <v>56</v>
      </c>
      <c r="BM123" s="2">
        <v>166.492219773337</v>
      </c>
      <c r="BN123" s="2">
        <v>0.168184010172389</v>
      </c>
      <c r="BP123">
        <v>57</v>
      </c>
      <c r="BQ123">
        <v>56</v>
      </c>
      <c r="BR123" s="2">
        <v>31.4671825001431</v>
      </c>
      <c r="BS123" s="2">
        <v>0.0717146767922532</v>
      </c>
      <c r="BV123">
        <v>57</v>
      </c>
      <c r="BW123">
        <v>56</v>
      </c>
      <c r="BX123" s="2">
        <v>14401.0882434158</v>
      </c>
      <c r="BY123" s="2">
        <v>0.852382562606137</v>
      </c>
    </row>
    <row r="124" spans="1:77" ht="12">
      <c r="A124" s="6"/>
      <c r="B124" s="6">
        <f t="shared" si="31"/>
        <v>3.25</v>
      </c>
      <c r="C124" s="85">
        <f t="shared" si="26"/>
        <v>16.8675</v>
      </c>
      <c r="D124" s="86">
        <f t="shared" si="27"/>
        <v>36.8675</v>
      </c>
      <c r="E124" s="87">
        <f t="shared" si="30"/>
        <v>25.30125</v>
      </c>
      <c r="F124" s="71">
        <f t="shared" si="28"/>
        <v>0.004403351074054666</v>
      </c>
      <c r="G124" s="71">
        <f t="shared" si="29"/>
        <v>0.06550692883767108</v>
      </c>
      <c r="H124" s="6"/>
      <c r="I124" s="6"/>
      <c r="M124" s="8"/>
      <c r="N124" s="8"/>
      <c r="P124" s="8"/>
      <c r="Q124" s="8"/>
      <c r="R124" s="8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34"/>
      <c r="AD124" s="22"/>
      <c r="AH124" s="98">
        <v>10.132445716052196</v>
      </c>
      <c r="AI124" s="98">
        <v>0.03428571428571428</v>
      </c>
      <c r="AJ124" s="98">
        <v>4.692762459348816</v>
      </c>
      <c r="AK124" s="98">
        <v>0.010142450142450143</v>
      </c>
      <c r="AL124" s="81"/>
      <c r="AM124" s="98">
        <v>10.132445716052196</v>
      </c>
      <c r="AN124" s="98">
        <v>0.023399999999999997</v>
      </c>
      <c r="AO124" s="81"/>
      <c r="AP124" s="98">
        <v>10.132445716052196</v>
      </c>
      <c r="AQ124" s="98">
        <v>0.014586894586894588</v>
      </c>
      <c r="AR124" s="81"/>
      <c r="AS124" s="98">
        <v>10.132445716052196</v>
      </c>
      <c r="AT124" s="98">
        <v>0.02085714285714286</v>
      </c>
      <c r="AU124" s="81"/>
      <c r="AV124" s="98">
        <v>10.132445716052196</v>
      </c>
      <c r="AW124" s="98">
        <v>0.01205128205128205</v>
      </c>
      <c r="AX124" s="81"/>
      <c r="AY124" s="98">
        <v>10.132445716052196</v>
      </c>
      <c r="AZ124" s="98">
        <v>0.019542857142857143</v>
      </c>
      <c r="BA124" s="81"/>
      <c r="BB124" s="98">
        <v>10.132445716052196</v>
      </c>
      <c r="BC124" s="98">
        <v>0.008205128205128205</v>
      </c>
      <c r="BF124">
        <v>58</v>
      </c>
      <c r="BG124">
        <v>57</v>
      </c>
      <c r="BH124" s="2">
        <v>603.092251535704</v>
      </c>
      <c r="BI124" s="2">
        <v>0.30649668929698</v>
      </c>
      <c r="BK124">
        <v>58</v>
      </c>
      <c r="BL124">
        <v>57</v>
      </c>
      <c r="BM124" s="2">
        <v>191.843169017489</v>
      </c>
      <c r="BN124" s="2">
        <v>0.178389349471682</v>
      </c>
      <c r="BP124">
        <v>58</v>
      </c>
      <c r="BQ124">
        <v>57</v>
      </c>
      <c r="BR124" s="2">
        <v>34.8621935131611</v>
      </c>
      <c r="BS124" s="2">
        <v>0.074896210895738</v>
      </c>
      <c r="BV124">
        <v>58</v>
      </c>
      <c r="BW124">
        <v>57</v>
      </c>
      <c r="BX124" s="2">
        <v>18250.1</v>
      </c>
      <c r="BY124" s="2">
        <v>0.859280864122153</v>
      </c>
    </row>
    <row r="125" spans="1:71" ht="12">
      <c r="A125" s="6"/>
      <c r="B125" s="6">
        <f t="shared" si="31"/>
        <v>3.75</v>
      </c>
      <c r="C125" s="85">
        <f t="shared" si="26"/>
        <v>19.4625</v>
      </c>
      <c r="D125" s="86">
        <f t="shared" si="27"/>
        <v>39.4625</v>
      </c>
      <c r="E125" s="87">
        <f t="shared" si="30"/>
        <v>29.193749999999998</v>
      </c>
      <c r="F125" s="71">
        <f t="shared" si="28"/>
        <v>0.004403351074054666</v>
      </c>
      <c r="G125" s="71">
        <f t="shared" si="29"/>
        <v>0.052442940299154236</v>
      </c>
      <c r="H125" s="6"/>
      <c r="I125" s="6"/>
      <c r="M125" s="8"/>
      <c r="N125" s="8"/>
      <c r="P125" s="8"/>
      <c r="Q125" s="8"/>
      <c r="R125" s="8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34"/>
      <c r="AD125" s="22"/>
      <c r="AH125" s="98">
        <v>10.540401226355485</v>
      </c>
      <c r="AI125" s="98">
        <v>0.037714285714285714</v>
      </c>
      <c r="AJ125" s="98">
        <v>4.849693428528175</v>
      </c>
      <c r="AK125" s="98">
        <v>0.010142450142450143</v>
      </c>
      <c r="AL125" s="81"/>
      <c r="AM125" s="98">
        <v>10.540401226355485</v>
      </c>
      <c r="AN125" s="98">
        <v>0.026</v>
      </c>
      <c r="AO125" s="81"/>
      <c r="AP125" s="98">
        <v>10.540401226355485</v>
      </c>
      <c r="AQ125" s="98">
        <v>0.014586894586894588</v>
      </c>
      <c r="AR125" s="81"/>
      <c r="AS125" s="98">
        <v>10.540401226355485</v>
      </c>
      <c r="AT125" s="98">
        <v>0.022942857142857143</v>
      </c>
      <c r="AU125" s="81"/>
      <c r="AV125" s="98">
        <v>10.540401226355485</v>
      </c>
      <c r="AW125" s="98">
        <v>0.01205128205128205</v>
      </c>
      <c r="AX125" s="81"/>
      <c r="AY125" s="98">
        <v>10.540401226355485</v>
      </c>
      <c r="AZ125" s="98">
        <v>0.020571428571428574</v>
      </c>
      <c r="BA125" s="81"/>
      <c r="BB125" s="98">
        <v>10.540401226355485</v>
      </c>
      <c r="BC125" s="98">
        <v>0.008888888888888889</v>
      </c>
      <c r="BF125">
        <v>59</v>
      </c>
      <c r="BG125">
        <v>58</v>
      </c>
      <c r="BH125" s="2">
        <v>729.612770002479</v>
      </c>
      <c r="BI125" s="2">
        <v>0.330155593165086</v>
      </c>
      <c r="BK125">
        <v>59</v>
      </c>
      <c r="BL125">
        <v>58</v>
      </c>
      <c r="BM125" s="2">
        <v>217.194118261641</v>
      </c>
      <c r="BN125" s="2">
        <v>0.187686732072825</v>
      </c>
      <c r="BP125">
        <v>59</v>
      </c>
      <c r="BQ125">
        <v>58</v>
      </c>
      <c r="BR125" s="2">
        <v>41.6522155391972</v>
      </c>
      <c r="BS125" s="2">
        <v>0.0805716343323296</v>
      </c>
    </row>
    <row r="126" spans="6:71" ht="12">
      <c r="F126" s="72">
        <f>SUM(F118:F125)/8</f>
        <v>0.004403351074054666</v>
      </c>
      <c r="G126" s="72">
        <f>SUM(G118:G125)/8</f>
        <v>0.15882458387210588</v>
      </c>
      <c r="H126" s="6"/>
      <c r="M126" s="8"/>
      <c r="N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22"/>
      <c r="AD126" s="22"/>
      <c r="AH126" s="98">
        <v>10.964781961431818</v>
      </c>
      <c r="AI126" s="98">
        <v>0.037714285714285714</v>
      </c>
      <c r="AJ126" s="98">
        <v>5.011872336272698</v>
      </c>
      <c r="AK126" s="98">
        <v>0.01267806267806268</v>
      </c>
      <c r="AL126" s="81"/>
      <c r="AM126" s="98">
        <v>10.964781961431818</v>
      </c>
      <c r="AN126" s="98">
        <v>0.026</v>
      </c>
      <c r="AO126" s="81"/>
      <c r="AP126" s="98">
        <v>10.964781961431818</v>
      </c>
      <c r="AQ126" s="98">
        <v>0.014586894586894588</v>
      </c>
      <c r="AR126" s="81"/>
      <c r="AS126" s="98">
        <v>10.964781961431818</v>
      </c>
      <c r="AT126" s="98">
        <v>0.022942857142857143</v>
      </c>
      <c r="AU126" s="81"/>
      <c r="AV126" s="98">
        <v>10.964781961431818</v>
      </c>
      <c r="AW126" s="98">
        <v>0.01205128205128205</v>
      </c>
      <c r="AX126" s="81"/>
      <c r="AY126" s="98">
        <v>10.964781961431818</v>
      </c>
      <c r="AZ126" s="98">
        <v>0.020571428571428574</v>
      </c>
      <c r="BA126" s="81"/>
      <c r="BB126" s="98">
        <v>10.964781961431818</v>
      </c>
      <c r="BC126" s="98">
        <v>0.008888888888888889</v>
      </c>
      <c r="BF126">
        <v>60</v>
      </c>
      <c r="BG126">
        <v>59</v>
      </c>
      <c r="BH126" s="2">
        <v>982.653806936028</v>
      </c>
      <c r="BI126" s="2">
        <v>0.368464002974715</v>
      </c>
      <c r="BK126">
        <v>60</v>
      </c>
      <c r="BL126">
        <v>59</v>
      </c>
      <c r="BM126" s="2">
        <v>267.896016749945</v>
      </c>
      <c r="BN126" s="2">
        <v>0.203874426515766</v>
      </c>
      <c r="BP126">
        <v>60</v>
      </c>
      <c r="BQ126">
        <v>59</v>
      </c>
      <c r="BR126" s="2">
        <v>48.4422375652333</v>
      </c>
      <c r="BS126" s="2">
        <v>0.0856250636107455</v>
      </c>
    </row>
    <row r="127" spans="6:71" ht="12.75">
      <c r="F127" s="74" t="s">
        <v>17</v>
      </c>
      <c r="G127" s="73">
        <f>G126+F126</f>
        <v>0.16322793494616056</v>
      </c>
      <c r="H127" s="6"/>
      <c r="M127" s="8"/>
      <c r="N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22"/>
      <c r="AD127" s="22"/>
      <c r="AH127" s="98">
        <v>11.406249238513173</v>
      </c>
      <c r="AI127" s="98">
        <v>0.037714285714285714</v>
      </c>
      <c r="AJ127" s="98">
        <v>5.179474679231185</v>
      </c>
      <c r="AK127" s="98">
        <v>0.01267806267806268</v>
      </c>
      <c r="AL127" s="81"/>
      <c r="AM127" s="98">
        <v>11.406249238513173</v>
      </c>
      <c r="AN127" s="98">
        <v>0.026</v>
      </c>
      <c r="AO127" s="81"/>
      <c r="AP127" s="98">
        <v>11.406249238513173</v>
      </c>
      <c r="AQ127" s="98">
        <v>0.014586894586894588</v>
      </c>
      <c r="AR127" s="81"/>
      <c r="AS127" s="98">
        <v>11.406249238513173</v>
      </c>
      <c r="AT127" s="98">
        <v>0.022942857142857143</v>
      </c>
      <c r="AU127" s="81"/>
      <c r="AV127" s="98">
        <v>11.406249238513173</v>
      </c>
      <c r="AW127" s="98">
        <v>0.013390313390313388</v>
      </c>
      <c r="AX127" s="81"/>
      <c r="AY127" s="98">
        <v>11.406249238513173</v>
      </c>
      <c r="AZ127" s="98">
        <v>0.020571428571428574</v>
      </c>
      <c r="BA127" s="81"/>
      <c r="BB127" s="98">
        <v>11.406249238513173</v>
      </c>
      <c r="BC127" s="98">
        <v>0.008888888888888889</v>
      </c>
      <c r="BF127">
        <v>61</v>
      </c>
      <c r="BG127">
        <v>60</v>
      </c>
      <c r="BH127" s="2">
        <v>1235.69484386958</v>
      </c>
      <c r="BI127" s="2">
        <v>0.399941730399955</v>
      </c>
      <c r="BK127">
        <v>61</v>
      </c>
      <c r="BL127">
        <v>60</v>
      </c>
      <c r="BM127" s="2">
        <v>318.597915238248</v>
      </c>
      <c r="BN127" s="2">
        <v>0.217979842656475</v>
      </c>
      <c r="BP127">
        <v>61</v>
      </c>
      <c r="BQ127">
        <v>60</v>
      </c>
      <c r="BR127" s="2">
        <v>55.2322595912694</v>
      </c>
      <c r="BS127" s="2">
        <v>0.0901859383343427</v>
      </c>
    </row>
    <row r="128" spans="2:71" ht="12">
      <c r="B128" s="8"/>
      <c r="C128" s="8"/>
      <c r="D128" s="8"/>
      <c r="E128" s="8"/>
      <c r="F128" s="74" t="s">
        <v>15</v>
      </c>
      <c r="G128" s="78">
        <f>G127*4</f>
        <v>0.6529117397846422</v>
      </c>
      <c r="H128" s="6" t="s">
        <v>16</v>
      </c>
      <c r="J128" s="4" t="s">
        <v>28</v>
      </c>
      <c r="M128" s="8"/>
      <c r="N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H128" s="98">
        <v>11.865491000980484</v>
      </c>
      <c r="AI128" s="98">
        <v>0.037714285714285714</v>
      </c>
      <c r="AJ128" s="98">
        <v>5.352681822847077</v>
      </c>
      <c r="AK128" s="98">
        <v>0.01267806267806268</v>
      </c>
      <c r="AL128" s="81"/>
      <c r="AM128" s="98">
        <v>11.865491000980484</v>
      </c>
      <c r="AN128" s="98">
        <v>0.026</v>
      </c>
      <c r="AO128" s="81"/>
      <c r="AP128" s="98">
        <v>11.865491000980484</v>
      </c>
      <c r="AQ128" s="98">
        <v>0.014586894586894588</v>
      </c>
      <c r="AR128" s="81"/>
      <c r="AS128" s="98">
        <v>11.865491000980484</v>
      </c>
      <c r="AT128" s="98">
        <v>0.022942857142857143</v>
      </c>
      <c r="AU128" s="81"/>
      <c r="AV128" s="98">
        <v>11.865491000980484</v>
      </c>
      <c r="AW128" s="98">
        <v>0.013390313390313388</v>
      </c>
      <c r="AX128" s="81"/>
      <c r="AY128" s="98">
        <v>11.865491000980484</v>
      </c>
      <c r="AZ128" s="98">
        <v>0.0216</v>
      </c>
      <c r="BA128" s="81"/>
      <c r="BB128" s="98">
        <v>11.865491000980484</v>
      </c>
      <c r="BC128" s="98">
        <v>0.008888888888888889</v>
      </c>
      <c r="BF128">
        <v>62</v>
      </c>
      <c r="BG128">
        <v>61</v>
      </c>
      <c r="BH128" s="2">
        <v>1741.77691773668</v>
      </c>
      <c r="BI128" s="2">
        <v>0.448061176325059</v>
      </c>
      <c r="BK128">
        <v>62</v>
      </c>
      <c r="BL128">
        <v>61</v>
      </c>
      <c r="BM128" s="2">
        <v>369.299813726552</v>
      </c>
      <c r="BN128" s="2">
        <v>0.230478788123245</v>
      </c>
      <c r="BP128">
        <v>62</v>
      </c>
      <c r="BQ128">
        <v>61</v>
      </c>
      <c r="BR128" s="2">
        <v>62.0222816173055</v>
      </c>
      <c r="BS128" s="2">
        <v>0.094343662506785</v>
      </c>
    </row>
    <row r="129" spans="2:71" ht="12">
      <c r="B129" s="8"/>
      <c r="C129" s="8"/>
      <c r="D129" s="8"/>
      <c r="E129" s="8"/>
      <c r="F129" s="8"/>
      <c r="G129" s="8"/>
      <c r="M129" s="8"/>
      <c r="N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22"/>
      <c r="AD129" s="22"/>
      <c r="AH129" s="98">
        <v>12.343222890393463</v>
      </c>
      <c r="AI129" s="98">
        <v>0.037714285714285714</v>
      </c>
      <c r="AJ129" s="98">
        <v>5.531681197617198</v>
      </c>
      <c r="AK129" s="98">
        <v>0.01267806267806268</v>
      </c>
      <c r="AL129" s="81"/>
      <c r="AM129" s="98">
        <v>12.343222890393463</v>
      </c>
      <c r="AN129" s="98">
        <v>0.026</v>
      </c>
      <c r="AO129" s="81"/>
      <c r="AP129" s="98">
        <v>12.343222890393463</v>
      </c>
      <c r="AQ129" s="98">
        <v>0.01641025641025641</v>
      </c>
      <c r="AR129" s="81"/>
      <c r="AS129" s="98">
        <v>12.343222890393463</v>
      </c>
      <c r="AT129" s="98">
        <v>0.025028571428571428</v>
      </c>
      <c r="AU129" s="81"/>
      <c r="AV129" s="98">
        <v>12.343222890393463</v>
      </c>
      <c r="AW129" s="98">
        <v>0.014729344729344727</v>
      </c>
      <c r="AX129" s="81"/>
      <c r="AY129" s="98">
        <v>12.343222890393463</v>
      </c>
      <c r="AZ129" s="98">
        <v>0.0216</v>
      </c>
      <c r="BA129" s="81"/>
      <c r="BB129" s="98">
        <v>12.343222890393463</v>
      </c>
      <c r="BC129" s="98">
        <v>0.009572649572649573</v>
      </c>
      <c r="BF129">
        <v>63</v>
      </c>
      <c r="BG129">
        <v>62</v>
      </c>
      <c r="BH129" s="2">
        <v>2753.94106547087</v>
      </c>
      <c r="BI129" s="2">
        <v>0.511197944902001</v>
      </c>
      <c r="BK129">
        <v>63</v>
      </c>
      <c r="BL129">
        <v>62</v>
      </c>
      <c r="BM129" s="2">
        <v>420.001712214856</v>
      </c>
      <c r="BN129" s="2">
        <v>0.241688751188204</v>
      </c>
      <c r="BP129">
        <v>63</v>
      </c>
      <c r="BQ129">
        <v>62</v>
      </c>
      <c r="BR129" s="2">
        <v>68.8123036433416</v>
      </c>
      <c r="BS129" s="2">
        <v>0.0981643254990369</v>
      </c>
    </row>
    <row r="130" spans="2:71" ht="12">
      <c r="B130" s="8"/>
      <c r="C130" s="8"/>
      <c r="D130" s="8"/>
      <c r="E130" s="8"/>
      <c r="F130" s="8"/>
      <c r="G130" s="8"/>
      <c r="M130" s="8"/>
      <c r="N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22"/>
      <c r="AD130" s="22"/>
      <c r="AH130" s="98">
        <v>12.840189361682848</v>
      </c>
      <c r="AI130" s="98">
        <v>0.037714285714285714</v>
      </c>
      <c r="AJ130" s="98">
        <v>5.7166665019135845</v>
      </c>
      <c r="AK130" s="98">
        <v>0.01267806267806268</v>
      </c>
      <c r="AL130" s="81"/>
      <c r="AM130" s="98">
        <v>12.840189361682848</v>
      </c>
      <c r="AN130" s="98">
        <v>0.026</v>
      </c>
      <c r="AO130" s="81"/>
      <c r="AP130" s="98">
        <v>12.840189361682848</v>
      </c>
      <c r="AQ130" s="98">
        <v>0.01641025641025641</v>
      </c>
      <c r="AR130" s="81"/>
      <c r="AS130" s="98">
        <v>12.840189361682848</v>
      </c>
      <c r="AT130" s="98">
        <v>0.025028571428571428</v>
      </c>
      <c r="AU130" s="81"/>
      <c r="AV130" s="98">
        <v>12.840189361682848</v>
      </c>
      <c r="AW130" s="98">
        <v>0.014729344729344727</v>
      </c>
      <c r="AX130" s="81"/>
      <c r="AY130" s="98">
        <v>12.840189361682848</v>
      </c>
      <c r="AZ130" s="98">
        <v>0.02262857142857143</v>
      </c>
      <c r="BA130" s="81"/>
      <c r="BB130" s="98">
        <v>12.840189361682848</v>
      </c>
      <c r="BC130" s="98">
        <v>0.009572649572649573</v>
      </c>
      <c r="BF130">
        <v>64</v>
      </c>
      <c r="BG130">
        <v>63</v>
      </c>
      <c r="BH130" s="2">
        <v>4778.26936093927</v>
      </c>
      <c r="BI130" s="2">
        <v>0.574248600813707</v>
      </c>
      <c r="BK130">
        <v>64</v>
      </c>
      <c r="BL130">
        <v>63</v>
      </c>
      <c r="BM130" s="2">
        <v>521.405509191463</v>
      </c>
      <c r="BN130" s="2">
        <v>0.26075342772138</v>
      </c>
      <c r="BP130">
        <v>64</v>
      </c>
      <c r="BQ130">
        <v>63</v>
      </c>
      <c r="BR130" s="2">
        <v>75.6023256693777</v>
      </c>
      <c r="BS130" s="2">
        <v>0.101698443672227</v>
      </c>
    </row>
    <row r="131" spans="1:71" ht="40.5">
      <c r="A131" s="1" t="s">
        <v>18</v>
      </c>
      <c r="B131" s="29" t="s">
        <v>19</v>
      </c>
      <c r="C131" s="29" t="s">
        <v>62</v>
      </c>
      <c r="D131" s="19" t="s">
        <v>76</v>
      </c>
      <c r="E131" s="19" t="s">
        <v>77</v>
      </c>
      <c r="F131" s="19"/>
      <c r="G131" s="8"/>
      <c r="M131" s="8"/>
      <c r="N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22"/>
      <c r="AD131" s="22"/>
      <c r="AH131" s="98">
        <v>13.357164843242803</v>
      </c>
      <c r="AI131" s="98">
        <v>0.037714285714285714</v>
      </c>
      <c r="AJ131" s="98">
        <v>5.907837911587912</v>
      </c>
      <c r="AK131" s="98">
        <v>0.01267806267806268</v>
      </c>
      <c r="AL131" s="81"/>
      <c r="AM131" s="98">
        <v>13.357164843242803</v>
      </c>
      <c r="AN131" s="98">
        <v>0.026</v>
      </c>
      <c r="AO131" s="81"/>
      <c r="AP131" s="98">
        <v>13.357164843242803</v>
      </c>
      <c r="AQ131" s="98">
        <v>0.01641025641025641</v>
      </c>
      <c r="AR131" s="81"/>
      <c r="AS131" s="98">
        <v>13.357164843242803</v>
      </c>
      <c r="AT131" s="98">
        <v>0.027114285714285716</v>
      </c>
      <c r="AU131" s="81"/>
      <c r="AV131" s="98">
        <v>13.357164843242803</v>
      </c>
      <c r="AW131" s="98">
        <v>0.016068376068376067</v>
      </c>
      <c r="AX131" s="81"/>
      <c r="AY131" s="98">
        <v>13.357164843242803</v>
      </c>
      <c r="AZ131" s="98">
        <v>0.02365714285714286</v>
      </c>
      <c r="BA131" s="81"/>
      <c r="BB131" s="98">
        <v>13.357164843242803</v>
      </c>
      <c r="BC131" s="98">
        <v>0.009572649572649573</v>
      </c>
      <c r="BF131">
        <v>65</v>
      </c>
      <c r="BG131">
        <v>64</v>
      </c>
      <c r="BH131" s="2">
        <v>8826.92595187606</v>
      </c>
      <c r="BI131" s="2">
        <v>0.616129987399682</v>
      </c>
      <c r="BK131">
        <v>65</v>
      </c>
      <c r="BL131">
        <v>64</v>
      </c>
      <c r="BM131" s="2">
        <v>622.809306168071</v>
      </c>
      <c r="BN131" s="2">
        <v>0.276934649054978</v>
      </c>
      <c r="BP131">
        <v>65</v>
      </c>
      <c r="BQ131">
        <v>64</v>
      </c>
      <c r="BR131" s="2">
        <v>89.1823697214499</v>
      </c>
      <c r="BS131" s="2">
        <v>0.1079774085682</v>
      </c>
    </row>
    <row r="132" spans="1:71" ht="12">
      <c r="A132">
        <v>1</v>
      </c>
      <c r="B132" s="46">
        <f>G95</f>
        <v>0.12071165204403392</v>
      </c>
      <c r="C132" s="9">
        <f>H93</f>
        <v>0.006035582602201696</v>
      </c>
      <c r="D132" s="45">
        <f>I93</f>
        <v>0.0032103192129161948</v>
      </c>
      <c r="E132" s="46">
        <f>G96</f>
        <v>0.48284660817613567</v>
      </c>
      <c r="F132" s="21"/>
      <c r="G132" s="8"/>
      <c r="M132" s="8"/>
      <c r="N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22"/>
      <c r="AD132" s="22"/>
      <c r="AH132" s="98"/>
      <c r="AI132" s="98"/>
      <c r="AJ132" s="98"/>
      <c r="AK132" s="98"/>
      <c r="AL132" s="81"/>
      <c r="AM132" s="98"/>
      <c r="AN132" s="98"/>
      <c r="AO132" s="81"/>
      <c r="AP132" s="98"/>
      <c r="AQ132" s="98"/>
      <c r="AR132" s="81"/>
      <c r="AS132" s="98"/>
      <c r="AT132" s="98"/>
      <c r="AU132" s="81"/>
      <c r="AV132" s="98"/>
      <c r="AW132" s="98"/>
      <c r="AX132" s="81"/>
      <c r="AY132" s="98"/>
      <c r="AZ132" s="98"/>
      <c r="BA132" s="81"/>
      <c r="BB132" s="98"/>
      <c r="BC132" s="98"/>
      <c r="BH132" s="2"/>
      <c r="BI132" s="2"/>
      <c r="BM132" s="2"/>
      <c r="BN132" s="2"/>
      <c r="BR132" s="2"/>
      <c r="BS132" s="2"/>
    </row>
    <row r="133" spans="1:71" ht="12">
      <c r="A133">
        <v>2</v>
      </c>
      <c r="B133" s="46">
        <f>G103</f>
        <v>0.1431631116804366</v>
      </c>
      <c r="C133" s="9">
        <f>H100</f>
        <v>0.00715815558402183</v>
      </c>
      <c r="D133" s="45">
        <f>I100</f>
        <v>0.002706863040563346</v>
      </c>
      <c r="E133" s="46">
        <f>G104</f>
        <v>0.5726524467217464</v>
      </c>
      <c r="F133" s="8"/>
      <c r="G133" s="8"/>
      <c r="M133" s="8"/>
      <c r="N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22"/>
      <c r="AD133" s="22"/>
      <c r="AH133" s="98"/>
      <c r="AI133" s="98"/>
      <c r="AJ133" s="98"/>
      <c r="AK133" s="98"/>
      <c r="AL133" s="81"/>
      <c r="AM133" s="98"/>
      <c r="AN133" s="98"/>
      <c r="AO133" s="81"/>
      <c r="AP133" s="98"/>
      <c r="AQ133" s="98"/>
      <c r="AR133" s="81"/>
      <c r="AS133" s="98"/>
      <c r="AT133" s="98"/>
      <c r="AU133" s="81"/>
      <c r="AV133" s="98"/>
      <c r="AW133" s="98"/>
      <c r="AX133" s="81"/>
      <c r="AY133" s="98"/>
      <c r="AZ133" s="98"/>
      <c r="BA133" s="81"/>
      <c r="BB133" s="98"/>
      <c r="BC133" s="98"/>
      <c r="BH133" s="2"/>
      <c r="BI133" s="2"/>
      <c r="BM133" s="2"/>
      <c r="BN133" s="2"/>
      <c r="BR133" s="2"/>
      <c r="BS133" s="2"/>
    </row>
    <row r="134" spans="1:71" ht="12">
      <c r="A134">
        <v>4</v>
      </c>
      <c r="B134" s="46">
        <f>G113</f>
        <v>0.15620646097490443</v>
      </c>
      <c r="C134" s="9">
        <f>H108</f>
        <v>0.0078103230487452215</v>
      </c>
      <c r="D134" s="45">
        <f>I108</f>
        <v>0.0024808380739262414</v>
      </c>
      <c r="E134" s="46">
        <f>G114</f>
        <v>0.6248258438996177</v>
      </c>
      <c r="F134" s="8"/>
      <c r="G134" s="8"/>
      <c r="M134" s="8"/>
      <c r="N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22"/>
      <c r="AD134" s="22"/>
      <c r="AH134" s="98"/>
      <c r="AI134" s="98"/>
      <c r="AJ134" s="98"/>
      <c r="AK134" s="98"/>
      <c r="AL134" s="81"/>
      <c r="AM134" s="98"/>
      <c r="AN134" s="98"/>
      <c r="AO134" s="81"/>
      <c r="AP134" s="98"/>
      <c r="AQ134" s="98"/>
      <c r="AR134" s="81"/>
      <c r="AS134" s="98"/>
      <c r="AT134" s="98"/>
      <c r="AU134" s="81"/>
      <c r="AV134" s="98"/>
      <c r="AW134" s="98"/>
      <c r="AX134" s="81"/>
      <c r="AY134" s="98"/>
      <c r="AZ134" s="98"/>
      <c r="BA134" s="81"/>
      <c r="BB134" s="98"/>
      <c r="BC134" s="98"/>
      <c r="BH134" s="2"/>
      <c r="BI134" s="2"/>
      <c r="BM134" s="2"/>
      <c r="BN134" s="2"/>
      <c r="BR134" s="2"/>
      <c r="BS134" s="2"/>
    </row>
    <row r="135" spans="1:71" ht="12">
      <c r="A135">
        <v>8</v>
      </c>
      <c r="B135" s="46">
        <f>G127</f>
        <v>0.16322793494616056</v>
      </c>
      <c r="C135" s="9">
        <f>H118</f>
        <v>0.008161396747308028</v>
      </c>
      <c r="D135" s="45">
        <f>I118</f>
        <v>0.002374121414374555</v>
      </c>
      <c r="E135" s="46">
        <f>G128</f>
        <v>0.6529117397846422</v>
      </c>
      <c r="F135" s="8"/>
      <c r="G135" s="8"/>
      <c r="M135" s="8"/>
      <c r="N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22"/>
      <c r="AD135" s="22"/>
      <c r="AH135" s="98"/>
      <c r="AI135" s="98"/>
      <c r="AJ135" s="98"/>
      <c r="AK135" s="98"/>
      <c r="AL135" s="81"/>
      <c r="AM135" s="98"/>
      <c r="AN135" s="98"/>
      <c r="AO135" s="81"/>
      <c r="AP135" s="98"/>
      <c r="AQ135" s="98"/>
      <c r="AR135" s="81"/>
      <c r="AS135" s="98"/>
      <c r="AT135" s="98"/>
      <c r="AU135" s="81"/>
      <c r="AV135" s="98"/>
      <c r="AW135" s="98"/>
      <c r="AX135" s="81"/>
      <c r="AY135" s="98"/>
      <c r="AZ135" s="98"/>
      <c r="BA135" s="81"/>
      <c r="BB135" s="98"/>
      <c r="BC135" s="98"/>
      <c r="BH135" s="2"/>
      <c r="BI135" s="2"/>
      <c r="BM135" s="2"/>
      <c r="BN135" s="2"/>
      <c r="BR135" s="2"/>
      <c r="BS135" s="2"/>
    </row>
    <row r="136" spans="2:71" ht="12">
      <c r="B136" s="8"/>
      <c r="C136" s="8"/>
      <c r="D136" s="28"/>
      <c r="E136" s="8"/>
      <c r="F136" s="8"/>
      <c r="G136" s="8"/>
      <c r="M136" s="8"/>
      <c r="N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22"/>
      <c r="AD136" s="22"/>
      <c r="AH136" s="98"/>
      <c r="AI136" s="98"/>
      <c r="AJ136" s="98"/>
      <c r="AK136" s="98"/>
      <c r="AL136" s="81"/>
      <c r="AM136" s="98"/>
      <c r="AN136" s="98"/>
      <c r="AO136" s="81"/>
      <c r="AP136" s="98"/>
      <c r="AQ136" s="98"/>
      <c r="AR136" s="81"/>
      <c r="AS136" s="98"/>
      <c r="AT136" s="98"/>
      <c r="AU136" s="81"/>
      <c r="AV136" s="98"/>
      <c r="AW136" s="98"/>
      <c r="AX136" s="81"/>
      <c r="AY136" s="98"/>
      <c r="AZ136" s="98"/>
      <c r="BA136" s="81"/>
      <c r="BB136" s="98"/>
      <c r="BC136" s="98"/>
      <c r="BH136" s="2"/>
      <c r="BI136" s="2"/>
      <c r="BM136" s="2"/>
      <c r="BN136" s="2"/>
      <c r="BR136" s="2"/>
      <c r="BS136" s="2"/>
    </row>
    <row r="137" spans="1:71" ht="12">
      <c r="A137" s="35"/>
      <c r="B137" s="39"/>
      <c r="C137" s="37"/>
      <c r="D137" s="38"/>
      <c r="E137" s="38"/>
      <c r="F137" s="8"/>
      <c r="G137" s="8"/>
      <c r="M137" s="8"/>
      <c r="N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22"/>
      <c r="AD137" s="22"/>
      <c r="AH137" s="98"/>
      <c r="AI137" s="98"/>
      <c r="AJ137" s="98"/>
      <c r="AK137" s="98"/>
      <c r="AL137" s="81"/>
      <c r="AM137" s="98"/>
      <c r="AN137" s="98"/>
      <c r="AO137" s="81"/>
      <c r="AP137" s="98"/>
      <c r="AQ137" s="98"/>
      <c r="AR137" s="81"/>
      <c r="AS137" s="98"/>
      <c r="AT137" s="98"/>
      <c r="AU137" s="81"/>
      <c r="AV137" s="98"/>
      <c r="AW137" s="98"/>
      <c r="AX137" s="81"/>
      <c r="AY137" s="98"/>
      <c r="AZ137" s="98"/>
      <c r="BA137" s="81"/>
      <c r="BB137" s="98"/>
      <c r="BC137" s="98"/>
      <c r="BH137" s="2"/>
      <c r="BI137" s="2"/>
      <c r="BM137" s="2"/>
      <c r="BN137" s="2"/>
      <c r="BR137" s="2"/>
      <c r="BS137" s="2"/>
    </row>
    <row r="138" spans="1:71" ht="12">
      <c r="A138" s="35"/>
      <c r="B138" s="39"/>
      <c r="C138" s="37"/>
      <c r="D138" s="38"/>
      <c r="E138" s="38"/>
      <c r="F138" s="8"/>
      <c r="G138" s="8"/>
      <c r="L138">
        <v>1</v>
      </c>
      <c r="M138" s="8"/>
      <c r="N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22"/>
      <c r="AD138" s="22"/>
      <c r="AH138" s="98"/>
      <c r="AI138" s="98"/>
      <c r="AJ138" s="98"/>
      <c r="AK138" s="98"/>
      <c r="AL138" s="81"/>
      <c r="AM138" s="98"/>
      <c r="AN138" s="98"/>
      <c r="AO138" s="81"/>
      <c r="AP138" s="98"/>
      <c r="AQ138" s="98"/>
      <c r="AR138" s="81"/>
      <c r="AS138" s="98"/>
      <c r="AT138" s="98"/>
      <c r="AU138" s="81"/>
      <c r="AV138" s="98"/>
      <c r="AW138" s="98"/>
      <c r="AX138" s="81"/>
      <c r="AY138" s="98"/>
      <c r="AZ138" s="98"/>
      <c r="BA138" s="81"/>
      <c r="BB138" s="98"/>
      <c r="BC138" s="98"/>
      <c r="BH138" s="2"/>
      <c r="BI138" s="2"/>
      <c r="BM138" s="2"/>
      <c r="BN138" s="2"/>
      <c r="BR138" s="2"/>
      <c r="BS138" s="2"/>
    </row>
    <row r="139" spans="1:71" ht="12">
      <c r="A139" s="35"/>
      <c r="B139" s="39"/>
      <c r="C139" s="37"/>
      <c r="D139" s="38"/>
      <c r="E139" s="38"/>
      <c r="F139" s="8"/>
      <c r="G139" s="8"/>
      <c r="M139" s="8"/>
      <c r="N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22"/>
      <c r="AD139" s="22"/>
      <c r="AH139" s="98"/>
      <c r="AI139" s="98"/>
      <c r="AJ139" s="98"/>
      <c r="AK139" s="98"/>
      <c r="AL139" s="81"/>
      <c r="AM139" s="98"/>
      <c r="AN139" s="98"/>
      <c r="AO139" s="81"/>
      <c r="AP139" s="98"/>
      <c r="AQ139" s="98"/>
      <c r="AR139" s="81"/>
      <c r="AS139" s="98"/>
      <c r="AT139" s="98"/>
      <c r="AU139" s="81"/>
      <c r="AV139" s="98"/>
      <c r="AW139" s="98"/>
      <c r="AX139" s="81"/>
      <c r="AY139" s="98"/>
      <c r="AZ139" s="98"/>
      <c r="BA139" s="81"/>
      <c r="BB139" s="98"/>
      <c r="BC139" s="98"/>
      <c r="BH139" s="2"/>
      <c r="BI139" s="2"/>
      <c r="BM139" s="2"/>
      <c r="BN139" s="2"/>
      <c r="BR139" s="2"/>
      <c r="BS139" s="2"/>
    </row>
    <row r="140" spans="1:71" ht="12">
      <c r="A140" s="35"/>
      <c r="B140" s="39"/>
      <c r="C140" s="37"/>
      <c r="D140" s="38"/>
      <c r="E140" s="38"/>
      <c r="F140" s="8"/>
      <c r="G140" s="8"/>
      <c r="M140" s="8"/>
      <c r="N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22"/>
      <c r="AD140" s="22"/>
      <c r="AH140" s="98">
        <v>13.894954943731332</v>
      </c>
      <c r="AI140" s="98">
        <v>0.04114285714285714</v>
      </c>
      <c r="AJ140" s="98">
        <v>6.105402296585294</v>
      </c>
      <c r="AK140" s="98">
        <v>0.015213675213675214</v>
      </c>
      <c r="AL140" s="81"/>
      <c r="AM140" s="98">
        <v>13.894954943731332</v>
      </c>
      <c r="AN140" s="98">
        <v>0.0286</v>
      </c>
      <c r="AO140" s="81"/>
      <c r="AP140" s="98">
        <v>13.894954943731332</v>
      </c>
      <c r="AQ140" s="98">
        <v>0.01641025641025641</v>
      </c>
      <c r="AR140" s="81"/>
      <c r="AS140" s="98">
        <v>13.894954943731332</v>
      </c>
      <c r="AT140" s="98">
        <v>0.027114285714285716</v>
      </c>
      <c r="AU140" s="81"/>
      <c r="AV140" s="98">
        <v>13.894954943731332</v>
      </c>
      <c r="AW140" s="98">
        <v>0.016068376068376067</v>
      </c>
      <c r="AX140" s="81"/>
      <c r="AY140" s="98">
        <v>13.894954943731332</v>
      </c>
      <c r="AZ140" s="98">
        <v>0.024685714285714287</v>
      </c>
      <c r="BA140" s="81"/>
      <c r="BB140" s="98">
        <v>13.894954943731332</v>
      </c>
      <c r="BC140" s="98">
        <v>0.010256410256410256</v>
      </c>
      <c r="BF140">
        <v>66</v>
      </c>
      <c r="BG140">
        <v>65</v>
      </c>
      <c r="BH140" s="2">
        <v>18250.1</v>
      </c>
      <c r="BI140" s="2">
        <v>0.635685533552033</v>
      </c>
      <c r="BK140">
        <v>66</v>
      </c>
      <c r="BL140">
        <v>65</v>
      </c>
      <c r="BM140" s="2">
        <v>724.213103144678</v>
      </c>
      <c r="BN140" s="2">
        <v>0.290926695498775</v>
      </c>
      <c r="BP140">
        <v>66</v>
      </c>
      <c r="BQ140">
        <v>65</v>
      </c>
      <c r="BR140" s="2">
        <v>102.762413773522</v>
      </c>
      <c r="BS140" s="2">
        <v>0.11351963712785</v>
      </c>
    </row>
    <row r="141" spans="1:71" ht="12">
      <c r="A141" s="35"/>
      <c r="B141" s="39"/>
      <c r="C141" s="37"/>
      <c r="D141" s="38"/>
      <c r="E141" s="38"/>
      <c r="F141" s="8"/>
      <c r="G141" s="8"/>
      <c r="M141" s="8"/>
      <c r="N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22"/>
      <c r="AD141" s="22"/>
      <c r="AH141" s="98">
        <v>14.454397707459227</v>
      </c>
      <c r="AI141" s="98">
        <v>0.04114285714285714</v>
      </c>
      <c r="AJ141" s="98">
        <v>6.309573444801896</v>
      </c>
      <c r="AK141" s="98">
        <v>0.015213675213675214</v>
      </c>
      <c r="AL141" s="81"/>
      <c r="AM141" s="98">
        <v>14.454397707459227</v>
      </c>
      <c r="AN141" s="98">
        <v>0.0286</v>
      </c>
      <c r="AO141" s="81"/>
      <c r="AP141" s="98">
        <v>14.454397707459227</v>
      </c>
      <c r="AQ141" s="98">
        <v>0.018233618233618236</v>
      </c>
      <c r="AR141" s="81"/>
      <c r="AS141" s="98">
        <v>14.454397707459227</v>
      </c>
      <c r="AT141" s="98">
        <v>0.0292</v>
      </c>
      <c r="AU141" s="81"/>
      <c r="AV141" s="98">
        <v>14.454397707459227</v>
      </c>
      <c r="AW141" s="98">
        <v>0.016068376068376067</v>
      </c>
      <c r="AX141" s="81"/>
      <c r="AY141" s="98">
        <v>14.454397707459227</v>
      </c>
      <c r="AZ141" s="98">
        <v>0.025714285714285714</v>
      </c>
      <c r="BA141" s="81"/>
      <c r="BB141" s="98">
        <v>14.454397707459227</v>
      </c>
      <c r="BC141" s="98">
        <v>0.010256410256410256</v>
      </c>
      <c r="BH141" s="2"/>
      <c r="BI141" s="2"/>
      <c r="BK141">
        <v>67</v>
      </c>
      <c r="BL141">
        <v>66</v>
      </c>
      <c r="BM141" s="2">
        <v>825.616900121286</v>
      </c>
      <c r="BN141" s="2">
        <v>0.303191836719034</v>
      </c>
      <c r="BP141">
        <v>67</v>
      </c>
      <c r="BQ141">
        <v>66</v>
      </c>
      <c r="BR141" s="2">
        <v>116.342457825594</v>
      </c>
      <c r="BS141" s="2">
        <v>0.118473492428262</v>
      </c>
    </row>
    <row r="142" spans="2:71" ht="12">
      <c r="B142" s="8"/>
      <c r="C142" s="8"/>
      <c r="D142" s="8"/>
      <c r="E142" s="8"/>
      <c r="F142" s="8"/>
      <c r="G142" s="8"/>
      <c r="M142" s="8"/>
      <c r="N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22"/>
      <c r="AD142" s="22"/>
      <c r="AH142" s="98">
        <v>15.036364920323875</v>
      </c>
      <c r="AI142" s="98">
        <v>0.04457142857142857</v>
      </c>
      <c r="AJ142" s="98">
        <v>6.520572293428576</v>
      </c>
      <c r="AK142" s="98">
        <v>0.015213675213675214</v>
      </c>
      <c r="AL142" s="81"/>
      <c r="AM142" s="98">
        <v>15.036364920323875</v>
      </c>
      <c r="AN142" s="98">
        <v>0.0312</v>
      </c>
      <c r="AO142" s="81"/>
      <c r="AP142" s="98">
        <v>15.036364920323875</v>
      </c>
      <c r="AQ142" s="98">
        <v>0.018233618233618236</v>
      </c>
      <c r="AR142" s="81"/>
      <c r="AS142" s="98">
        <v>15.036364920323875</v>
      </c>
      <c r="AT142" s="98">
        <v>0.031285714285714285</v>
      </c>
      <c r="AU142" s="81"/>
      <c r="AV142" s="98">
        <v>15.036364920323875</v>
      </c>
      <c r="AW142" s="98">
        <v>0.017407407407407406</v>
      </c>
      <c r="AX142" s="81"/>
      <c r="AY142" s="98">
        <v>15.036364920323875</v>
      </c>
      <c r="AZ142" s="98">
        <v>0.026742857142857145</v>
      </c>
      <c r="BA142" s="81"/>
      <c r="BB142" s="98">
        <v>15.036364920323875</v>
      </c>
      <c r="BC142" s="98">
        <v>0.01094017094017094</v>
      </c>
      <c r="BH142" s="2"/>
      <c r="BI142" s="2"/>
      <c r="BK142">
        <v>68</v>
      </c>
      <c r="BL142">
        <v>67</v>
      </c>
      <c r="BM142" s="2">
        <v>1028.4244940745</v>
      </c>
      <c r="BN142" s="2">
        <v>0.323383895488188</v>
      </c>
      <c r="BP142">
        <v>68</v>
      </c>
      <c r="BQ142">
        <v>67</v>
      </c>
      <c r="BR142" s="2">
        <v>129.922501877666</v>
      </c>
      <c r="BS142" s="2">
        <v>0.122942912250429</v>
      </c>
    </row>
    <row r="143" spans="2:71" ht="12">
      <c r="B143" s="8"/>
      <c r="C143" s="8"/>
      <c r="D143" s="8"/>
      <c r="E143" s="8"/>
      <c r="F143" s="8"/>
      <c r="G143" s="8"/>
      <c r="M143" s="8"/>
      <c r="N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22"/>
      <c r="AD143" s="22"/>
      <c r="AH143" s="98">
        <v>15.641763468322925</v>
      </c>
      <c r="AI143" s="98">
        <v>0.04457142857142857</v>
      </c>
      <c r="AJ143" s="98">
        <v>6.738627168030905</v>
      </c>
      <c r="AK143" s="98">
        <v>0.015213675213675214</v>
      </c>
      <c r="AL143" s="81"/>
      <c r="AM143" s="98">
        <v>15.641763468322925</v>
      </c>
      <c r="AN143" s="98">
        <v>0.0338</v>
      </c>
      <c r="AO143" s="81"/>
      <c r="AP143" s="98">
        <v>15.641763468322925</v>
      </c>
      <c r="AQ143" s="98">
        <v>0.018233618233618236</v>
      </c>
      <c r="AR143" s="81"/>
      <c r="AS143" s="98">
        <v>15.641763468322925</v>
      </c>
      <c r="AT143" s="98">
        <v>0.03337142857142857</v>
      </c>
      <c r="AU143" s="81"/>
      <c r="AV143" s="98">
        <v>15.641763468322925</v>
      </c>
      <c r="AW143" s="98">
        <v>0.017407407407407406</v>
      </c>
      <c r="AX143" s="81"/>
      <c r="AY143" s="98">
        <v>15.641763468322925</v>
      </c>
      <c r="AZ143" s="98">
        <v>0.0288</v>
      </c>
      <c r="BA143" s="81"/>
      <c r="BB143" s="98">
        <v>15.641763468322925</v>
      </c>
      <c r="BC143" s="98">
        <v>0.01094017094017094</v>
      </c>
      <c r="BH143" s="2"/>
      <c r="BI143" s="2"/>
      <c r="BK143">
        <v>69</v>
      </c>
      <c r="BL143">
        <v>68</v>
      </c>
      <c r="BM143" s="2">
        <v>1231.23208802772</v>
      </c>
      <c r="BN143" s="2">
        <v>0.339880657759481</v>
      </c>
      <c r="BP143">
        <v>69</v>
      </c>
      <c r="BQ143">
        <v>68</v>
      </c>
      <c r="BR143" s="2">
        <v>143.502545929739</v>
      </c>
      <c r="BS143" s="2">
        <v>0.127005054869923</v>
      </c>
    </row>
    <row r="144" spans="2:71" ht="12">
      <c r="B144" s="8"/>
      <c r="C144" s="8"/>
      <c r="D144" s="8"/>
      <c r="E144" s="8"/>
      <c r="F144" s="8"/>
      <c r="G144" s="8"/>
      <c r="M144" s="8"/>
      <c r="N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22"/>
      <c r="AD144" s="22"/>
      <c r="AH144" s="98">
        <v>16.27153675076487</v>
      </c>
      <c r="AI144" s="98">
        <v>0.048</v>
      </c>
      <c r="AJ144" s="98">
        <v>6.963974029624277</v>
      </c>
      <c r="AK144" s="98">
        <v>0.01774928774928775</v>
      </c>
      <c r="AL144" s="81"/>
      <c r="AM144" s="98">
        <v>16.27153675076487</v>
      </c>
      <c r="AN144" s="98">
        <v>0.0338</v>
      </c>
      <c r="AO144" s="81"/>
      <c r="AP144" s="98">
        <v>16.27153675076487</v>
      </c>
      <c r="AQ144" s="98">
        <v>0.020056980056980058</v>
      </c>
      <c r="AR144" s="81"/>
      <c r="AS144" s="98">
        <v>16.27153675076487</v>
      </c>
      <c r="AT144" s="98">
        <v>0.03337142857142857</v>
      </c>
      <c r="AU144" s="81"/>
      <c r="AV144" s="98">
        <v>16.27153675076487</v>
      </c>
      <c r="AW144" s="98">
        <v>0.018746438746438745</v>
      </c>
      <c r="AX144" s="81"/>
      <c r="AY144" s="98">
        <v>16.27153675076487</v>
      </c>
      <c r="AZ144" s="98">
        <v>0.02982857142857143</v>
      </c>
      <c r="BA144" s="81"/>
      <c r="BB144" s="98">
        <v>16.27153675076487</v>
      </c>
      <c r="BC144" s="98">
        <v>0.011623931623931624</v>
      </c>
      <c r="BH144" s="2"/>
      <c r="BI144" s="2"/>
      <c r="BK144">
        <v>70</v>
      </c>
      <c r="BL144">
        <v>69</v>
      </c>
      <c r="BM144" s="2">
        <v>1434.03968198093</v>
      </c>
      <c r="BN144" s="2">
        <v>0.353641564708332</v>
      </c>
      <c r="BP144">
        <v>70</v>
      </c>
      <c r="BQ144">
        <v>69</v>
      </c>
      <c r="BR144" s="2">
        <v>170.662634033883</v>
      </c>
      <c r="BS144" s="2">
        <v>0.134025673940742</v>
      </c>
    </row>
    <row r="145" spans="2:71" ht="12">
      <c r="B145" s="8"/>
      <c r="C145" s="8"/>
      <c r="D145" s="8"/>
      <c r="E145" s="8"/>
      <c r="F145" s="8"/>
      <c r="G145" s="8"/>
      <c r="M145" s="8"/>
      <c r="N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22"/>
      <c r="AD145" s="22"/>
      <c r="AH145" s="98">
        <v>16.9266661503787</v>
      </c>
      <c r="AI145" s="98">
        <v>0.048</v>
      </c>
      <c r="AJ145" s="98">
        <v>7.196856730011476</v>
      </c>
      <c r="AK145" s="98">
        <v>0.01774928774928775</v>
      </c>
      <c r="AL145" s="81"/>
      <c r="AM145" s="98">
        <v>16.9266661503787</v>
      </c>
      <c r="AN145" s="98">
        <v>0.0364</v>
      </c>
      <c r="AO145" s="81"/>
      <c r="AP145" s="98">
        <v>16.9266661503787</v>
      </c>
      <c r="AQ145" s="98">
        <v>0.020056980056980058</v>
      </c>
      <c r="AR145" s="81"/>
      <c r="AS145" s="98">
        <v>16.9266661503787</v>
      </c>
      <c r="AT145" s="98">
        <v>0.03545714285714286</v>
      </c>
      <c r="AU145" s="81"/>
      <c r="AV145" s="98">
        <v>16.9266661503787</v>
      </c>
      <c r="AW145" s="98">
        <v>0.020085470085470084</v>
      </c>
      <c r="AX145" s="81"/>
      <c r="AY145" s="98">
        <v>16.9266661503787</v>
      </c>
      <c r="AZ145" s="98">
        <v>0.030857142857142857</v>
      </c>
      <c r="BA145" s="81"/>
      <c r="BB145" s="98">
        <v>16.9266661503787</v>
      </c>
      <c r="BC145" s="98">
        <v>0.011623931623931624</v>
      </c>
      <c r="BH145" s="2"/>
      <c r="BI145" s="2"/>
      <c r="BK145">
        <v>71</v>
      </c>
      <c r="BL145">
        <v>70</v>
      </c>
      <c r="BM145" s="2">
        <v>1839.65486988736</v>
      </c>
      <c r="BN145" s="2">
        <v>0.374802768043832</v>
      </c>
      <c r="BP145">
        <v>71</v>
      </c>
      <c r="BQ145">
        <v>70</v>
      </c>
      <c r="BR145" s="2">
        <v>197.822722138027</v>
      </c>
      <c r="BS145" s="2">
        <v>0.140019931196563</v>
      </c>
    </row>
    <row r="146" spans="2:71" ht="12">
      <c r="B146" s="8"/>
      <c r="C146" s="8"/>
      <c r="D146" s="8"/>
      <c r="E146" s="8"/>
      <c r="F146" s="8"/>
      <c r="G146" s="8"/>
      <c r="M146" s="8"/>
      <c r="N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22"/>
      <c r="AD146" s="22"/>
      <c r="AH146" s="98">
        <v>17.608172562613557</v>
      </c>
      <c r="AI146" s="98">
        <v>0.05142857142857143</v>
      </c>
      <c r="AJ146" s="98">
        <v>7.437527275658999</v>
      </c>
      <c r="AK146" s="98">
        <v>0.01774928774928775</v>
      </c>
      <c r="AL146" s="81"/>
      <c r="AM146" s="98">
        <v>17.608172562613557</v>
      </c>
      <c r="AN146" s="98">
        <v>0.039</v>
      </c>
      <c r="AO146" s="81"/>
      <c r="AP146" s="98">
        <v>17.608172562613557</v>
      </c>
      <c r="AQ146" s="98">
        <v>0.020056980056980058</v>
      </c>
      <c r="AR146" s="81"/>
      <c r="AS146" s="98">
        <v>17.608172562613557</v>
      </c>
      <c r="AT146" s="98">
        <v>0.03754285714285714</v>
      </c>
      <c r="AU146" s="81"/>
      <c r="AV146" s="98">
        <v>17.608172562613557</v>
      </c>
      <c r="AW146" s="98">
        <v>0.020085470085470084</v>
      </c>
      <c r="AX146" s="81"/>
      <c r="AY146" s="98">
        <v>17.608172562613557</v>
      </c>
      <c r="AZ146" s="98">
        <v>0.03188571428571429</v>
      </c>
      <c r="BA146" s="81"/>
      <c r="BB146" s="98">
        <v>17.608172562613557</v>
      </c>
      <c r="BC146" s="98">
        <v>0.012307692307692308</v>
      </c>
      <c r="BH146" s="2"/>
      <c r="BI146" s="2"/>
      <c r="BK146">
        <v>72</v>
      </c>
      <c r="BL146">
        <v>71</v>
      </c>
      <c r="BM146" s="2">
        <v>2245.27005779379</v>
      </c>
      <c r="BN146" s="2">
        <v>0.390847297771656</v>
      </c>
      <c r="BP146">
        <v>72</v>
      </c>
      <c r="BQ146">
        <v>71</v>
      </c>
      <c r="BR146" s="2">
        <v>224.982810242172</v>
      </c>
      <c r="BS146" s="2">
        <v>0.145203695304137</v>
      </c>
    </row>
    <row r="147" spans="2:71" ht="12">
      <c r="B147" s="8"/>
      <c r="C147" s="8"/>
      <c r="D147" s="8"/>
      <c r="E147" s="8"/>
      <c r="F147" s="8"/>
      <c r="G147" s="8"/>
      <c r="L147">
        <v>10</v>
      </c>
      <c r="M147" s="8"/>
      <c r="N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22"/>
      <c r="AD147" s="22"/>
      <c r="AH147" s="98">
        <v>18.317117986511484</v>
      </c>
      <c r="AI147" s="98">
        <v>0.05142857142857143</v>
      </c>
      <c r="AJ147" s="98">
        <v>7.686246100397689</v>
      </c>
      <c r="AK147" s="98">
        <v>0.01774928774928775</v>
      </c>
      <c r="AL147" s="81"/>
      <c r="AM147" s="98">
        <v>18.317117986511484</v>
      </c>
      <c r="AN147" s="98">
        <v>0.039</v>
      </c>
      <c r="AO147" s="81"/>
      <c r="AP147" s="98">
        <v>18.317117986511484</v>
      </c>
      <c r="AQ147" s="98">
        <v>0.02188034188034188</v>
      </c>
      <c r="AR147" s="81"/>
      <c r="AS147" s="98">
        <v>18.317117986511484</v>
      </c>
      <c r="AT147" s="98">
        <v>0.03754285714285714</v>
      </c>
      <c r="AU147" s="81"/>
      <c r="AV147" s="98">
        <v>18.317117986511484</v>
      </c>
      <c r="AW147" s="98">
        <v>0.021424501424501422</v>
      </c>
      <c r="AX147" s="81"/>
      <c r="AY147" s="98">
        <v>18.317117986511484</v>
      </c>
      <c r="AZ147" s="98">
        <v>0.032914285714285715</v>
      </c>
      <c r="BA147" s="81"/>
      <c r="BB147" s="98">
        <v>18.317117986511484</v>
      </c>
      <c r="BC147" s="98">
        <v>0.012307692307692308</v>
      </c>
      <c r="BH147" s="2"/>
      <c r="BI147" s="2"/>
      <c r="BK147">
        <v>73</v>
      </c>
      <c r="BL147">
        <v>72</v>
      </c>
      <c r="BM147" s="2">
        <v>3056.50043360665</v>
      </c>
      <c r="BN147" s="2">
        <v>0.412651397738475</v>
      </c>
      <c r="BP147">
        <v>73</v>
      </c>
      <c r="BQ147">
        <v>72</v>
      </c>
      <c r="BR147" s="2">
        <v>252.142898346316</v>
      </c>
      <c r="BS147" s="2">
        <v>0.149728478041861</v>
      </c>
    </row>
    <row r="148" spans="2:71" ht="12">
      <c r="B148" s="8"/>
      <c r="C148" s="8"/>
      <c r="D148" s="8"/>
      <c r="E148" s="8"/>
      <c r="F148" s="8"/>
      <c r="G148" s="8"/>
      <c r="M148" s="8"/>
      <c r="N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22"/>
      <c r="AD148" s="22"/>
      <c r="AH148" s="98">
        <v>19.054607179632406</v>
      </c>
      <c r="AI148" s="98">
        <v>0.054857142857142854</v>
      </c>
      <c r="AJ148" s="98">
        <v>7.9432823472427625</v>
      </c>
      <c r="AK148" s="98">
        <v>0.01774928774928775</v>
      </c>
      <c r="AL148" s="81"/>
      <c r="AM148" s="98">
        <v>19.054607179632406</v>
      </c>
      <c r="AN148" s="98">
        <v>0.0416</v>
      </c>
      <c r="AO148" s="81"/>
      <c r="AP148" s="98">
        <v>19.054607179632406</v>
      </c>
      <c r="AQ148" s="98">
        <v>0.02188034188034188</v>
      </c>
      <c r="AR148" s="81"/>
      <c r="AS148" s="98">
        <v>19.054607179632406</v>
      </c>
      <c r="AT148" s="98">
        <v>0.03962857142857143</v>
      </c>
      <c r="AU148" s="81"/>
      <c r="AV148" s="98">
        <v>19.054607179632406</v>
      </c>
      <c r="AW148" s="98">
        <v>0.02276353276353276</v>
      </c>
      <c r="AX148" s="81"/>
      <c r="AY148" s="98">
        <v>19.054607179632406</v>
      </c>
      <c r="AZ148" s="98">
        <v>0.03497142857142857</v>
      </c>
      <c r="BA148" s="81"/>
      <c r="BB148" s="98">
        <v>19.054607179632406</v>
      </c>
      <c r="BC148" s="98">
        <v>0.012991452991452991</v>
      </c>
      <c r="BH148" s="2"/>
      <c r="BI148" s="2"/>
      <c r="BK148">
        <v>74</v>
      </c>
      <c r="BL148">
        <v>73</v>
      </c>
      <c r="BM148" s="2">
        <v>4678.96118523237</v>
      </c>
      <c r="BN148" s="2">
        <v>0.436285227830193</v>
      </c>
      <c r="BP148">
        <v>74</v>
      </c>
      <c r="BQ148">
        <v>73</v>
      </c>
      <c r="BR148" s="2">
        <v>306.463074554605</v>
      </c>
      <c r="BS148" s="2">
        <v>0.157076728954383</v>
      </c>
    </row>
    <row r="149" spans="2:71" ht="12">
      <c r="B149" s="8"/>
      <c r="C149" s="8"/>
      <c r="D149" s="8"/>
      <c r="E149" s="8"/>
      <c r="F149" s="8"/>
      <c r="G149" s="8"/>
      <c r="M149" s="8"/>
      <c r="N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22"/>
      <c r="AD149" s="22"/>
      <c r="AH149" s="98">
        <v>19.821789379610117</v>
      </c>
      <c r="AI149" s="98">
        <v>0.054857142857142854</v>
      </c>
      <c r="AJ149" s="98">
        <v>8.208914159638201</v>
      </c>
      <c r="AK149" s="98">
        <v>0.020284900284900285</v>
      </c>
      <c r="AL149" s="81"/>
      <c r="AM149" s="98">
        <v>19.821789379610117</v>
      </c>
      <c r="AN149" s="98">
        <v>0.044199999999999996</v>
      </c>
      <c r="AO149" s="81"/>
      <c r="AP149" s="98">
        <v>19.821789379610117</v>
      </c>
      <c r="AQ149" s="98">
        <v>0.023703703703703706</v>
      </c>
      <c r="AR149" s="81"/>
      <c r="AS149" s="98">
        <v>19.821789379610117</v>
      </c>
      <c r="AT149" s="98">
        <v>0.04171428571428572</v>
      </c>
      <c r="AU149" s="81"/>
      <c r="AV149" s="98">
        <v>19.821789379610117</v>
      </c>
      <c r="AW149" s="98">
        <v>0.02276353276353276</v>
      </c>
      <c r="AX149" s="81"/>
      <c r="AY149" s="98">
        <v>19.821789379610117</v>
      </c>
      <c r="AZ149" s="98">
        <v>0.03702857142857143</v>
      </c>
      <c r="BA149" s="81"/>
      <c r="BB149" s="98">
        <v>19.821789379610117</v>
      </c>
      <c r="BC149" s="98">
        <v>0.013675213675213675</v>
      </c>
      <c r="BK149">
        <v>75</v>
      </c>
      <c r="BL149">
        <v>74</v>
      </c>
      <c r="BM149" s="2">
        <v>7923.88268848381</v>
      </c>
      <c r="BN149" s="2">
        <v>0.455277555975694</v>
      </c>
      <c r="BP149">
        <v>75</v>
      </c>
      <c r="BQ149">
        <v>74</v>
      </c>
      <c r="BR149" s="2">
        <v>360.783250762894</v>
      </c>
      <c r="BS149" s="2">
        <v>0.162920604175503</v>
      </c>
    </row>
    <row r="150" spans="2:71" ht="12">
      <c r="B150" s="8"/>
      <c r="C150" s="8"/>
      <c r="D150" s="8"/>
      <c r="E150" s="8"/>
      <c r="F150" s="8"/>
      <c r="G150" s="8"/>
      <c r="M150" s="8"/>
      <c r="N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22"/>
      <c r="AD150" s="22"/>
      <c r="AH150" s="98">
        <v>20.619860095022126</v>
      </c>
      <c r="AI150" s="98">
        <v>0.05828571428571428</v>
      </c>
      <c r="AJ150" s="98">
        <v>8.483428982440662</v>
      </c>
      <c r="AK150" s="98">
        <v>0.020284900284900285</v>
      </c>
      <c r="AL150" s="81"/>
      <c r="AM150" s="98">
        <v>20.619860095022126</v>
      </c>
      <c r="AN150" s="98">
        <v>0.046799999999999994</v>
      </c>
      <c r="AO150" s="81"/>
      <c r="AP150" s="98">
        <v>20.619860095022126</v>
      </c>
      <c r="AQ150" s="98">
        <v>0.023703703703703706</v>
      </c>
      <c r="AR150" s="81"/>
      <c r="AS150" s="98">
        <v>20.619860095022126</v>
      </c>
      <c r="AT150" s="98">
        <v>0.0438</v>
      </c>
      <c r="AU150" s="81"/>
      <c r="AV150" s="98">
        <v>20.619860095022126</v>
      </c>
      <c r="AW150" s="98">
        <v>0.02276353276353276</v>
      </c>
      <c r="AX150" s="81"/>
      <c r="AY150" s="98">
        <v>20.619860095022126</v>
      </c>
      <c r="AZ150" s="98">
        <v>0.03805714285714286</v>
      </c>
      <c r="BA150" s="81"/>
      <c r="BB150" s="98">
        <v>20.619860095022126</v>
      </c>
      <c r="BC150" s="98">
        <v>0.014358974358974359</v>
      </c>
      <c r="BK150">
        <v>76</v>
      </c>
      <c r="BL150">
        <v>75</v>
      </c>
      <c r="BM150" s="2">
        <v>14413.7256949867</v>
      </c>
      <c r="BN150" s="2">
        <v>0.467795456537347</v>
      </c>
      <c r="BP150">
        <v>76</v>
      </c>
      <c r="BQ150">
        <v>75</v>
      </c>
      <c r="BR150" s="2">
        <v>415.103426971183</v>
      </c>
      <c r="BS150" s="2">
        <v>0.16764414852173</v>
      </c>
    </row>
    <row r="151" spans="2:71" ht="12">
      <c r="B151" s="8"/>
      <c r="C151" s="8"/>
      <c r="D151" s="8"/>
      <c r="E151" s="8"/>
      <c r="F151" s="8"/>
      <c r="G151" s="8"/>
      <c r="M151" s="8"/>
      <c r="N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22"/>
      <c r="AD151" s="22"/>
      <c r="AH151" s="98">
        <v>21.45006296836401</v>
      </c>
      <c r="AI151" s="98">
        <v>0.06171428571428571</v>
      </c>
      <c r="AJ151" s="98">
        <v>8.767123872968622</v>
      </c>
      <c r="AK151" s="98">
        <v>0.020284900284900285</v>
      </c>
      <c r="AL151" s="81"/>
      <c r="AM151" s="98">
        <v>21.45006296836401</v>
      </c>
      <c r="AN151" s="98">
        <v>0.046799999999999994</v>
      </c>
      <c r="AO151" s="81"/>
      <c r="AP151" s="98">
        <v>21.45006296836401</v>
      </c>
      <c r="AQ151" s="98">
        <v>0.023703703703703706</v>
      </c>
      <c r="AR151" s="81"/>
      <c r="AS151" s="98">
        <v>21.45006296836401</v>
      </c>
      <c r="AT151" s="98">
        <v>0.04588571428571429</v>
      </c>
      <c r="AU151" s="81"/>
      <c r="AV151" s="98">
        <v>21.45006296836401</v>
      </c>
      <c r="AW151" s="98">
        <v>0.0241025641025641</v>
      </c>
      <c r="AX151" s="81"/>
      <c r="AY151" s="98">
        <v>21.45006296836401</v>
      </c>
      <c r="AZ151" s="98">
        <v>0.04011428571428571</v>
      </c>
      <c r="BA151" s="81"/>
      <c r="BB151" s="98">
        <v>21.45006296836401</v>
      </c>
      <c r="BC151" s="98">
        <v>0.015042735042735043</v>
      </c>
      <c r="BK151">
        <v>77</v>
      </c>
      <c r="BL151">
        <v>76</v>
      </c>
      <c r="BM151" s="2">
        <v>18250.1</v>
      </c>
      <c r="BN151" s="2">
        <v>0.470518603975948</v>
      </c>
      <c r="BP151">
        <v>77</v>
      </c>
      <c r="BQ151">
        <v>76</v>
      </c>
      <c r="BR151" s="2">
        <v>523.74377938776</v>
      </c>
      <c r="BS151" s="2">
        <v>0.174527469340166</v>
      </c>
    </row>
    <row r="152" spans="2:71" ht="12">
      <c r="B152" s="8"/>
      <c r="C152" s="8"/>
      <c r="D152" s="8"/>
      <c r="E152" s="8"/>
      <c r="F152" s="8"/>
      <c r="G152" s="8"/>
      <c r="L152">
        <v>15</v>
      </c>
      <c r="M152" s="8"/>
      <c r="N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22"/>
      <c r="AD152" s="22"/>
      <c r="AH152" s="98">
        <v>22.313691714031357</v>
      </c>
      <c r="AI152" s="98">
        <v>0.06514285714285714</v>
      </c>
      <c r="AJ152" s="98">
        <v>9.060305822453312</v>
      </c>
      <c r="AK152" s="98">
        <v>0.020284900284900285</v>
      </c>
      <c r="AL152" s="81"/>
      <c r="AM152" s="98">
        <v>22.313691714031357</v>
      </c>
      <c r="AN152" s="98">
        <v>0.0494</v>
      </c>
      <c r="AO152" s="81"/>
      <c r="AP152" s="98">
        <v>22.313691714031357</v>
      </c>
      <c r="AQ152" s="98">
        <v>0.025527065527065528</v>
      </c>
      <c r="AR152" s="81"/>
      <c r="AS152" s="98">
        <v>22.313691714031357</v>
      </c>
      <c r="AT152" s="98">
        <v>0.047971428571428575</v>
      </c>
      <c r="AU152" s="81"/>
      <c r="AV152" s="98">
        <v>22.313691714031357</v>
      </c>
      <c r="AW152" s="98">
        <v>0.025441595441595438</v>
      </c>
      <c r="AX152" s="81"/>
      <c r="AY152" s="98">
        <v>22.313691714031357</v>
      </c>
      <c r="AZ152" s="98">
        <v>0.042171428571428575</v>
      </c>
      <c r="BA152" s="81"/>
      <c r="BB152" s="98">
        <v>22.313691714031357</v>
      </c>
      <c r="BC152" s="98">
        <v>0.015726495726495725</v>
      </c>
      <c r="BM152" s="2"/>
      <c r="BN152" s="2"/>
      <c r="BP152">
        <v>78</v>
      </c>
      <c r="BQ152">
        <v>77</v>
      </c>
      <c r="BR152" s="2">
        <v>632.384131804338</v>
      </c>
      <c r="BS152" s="2">
        <v>0.179382889700487</v>
      </c>
    </row>
    <row r="153" spans="2:71" ht="12">
      <c r="B153" s="8"/>
      <c r="C153" s="8"/>
      <c r="D153" s="8"/>
      <c r="E153" s="8"/>
      <c r="F153" s="8"/>
      <c r="G153" s="8"/>
      <c r="L153">
        <v>1</v>
      </c>
      <c r="M153" s="8"/>
      <c r="N153" s="8"/>
      <c r="AC153" s="5"/>
      <c r="AD153" s="5"/>
      <c r="AH153" s="98">
        <v>23.212092134329353</v>
      </c>
      <c r="AI153" s="98">
        <v>0.06514285714285714</v>
      </c>
      <c r="AJ153" s="98">
        <v>9.363292088239348</v>
      </c>
      <c r="AK153" s="98">
        <v>0.022820512820512822</v>
      </c>
      <c r="AL153" s="81"/>
      <c r="AM153" s="98">
        <v>23.212092134329353</v>
      </c>
      <c r="AN153" s="98">
        <v>0.052</v>
      </c>
      <c r="AO153" s="81"/>
      <c r="AP153" s="98">
        <v>23.212092134329353</v>
      </c>
      <c r="AQ153" s="98">
        <v>0.025527065527065528</v>
      </c>
      <c r="AR153" s="81"/>
      <c r="AS153" s="98">
        <v>23.212092134329353</v>
      </c>
      <c r="AT153" s="98">
        <v>0.050057142857142856</v>
      </c>
      <c r="AU153" s="81"/>
      <c r="AV153" s="98">
        <v>23.212092134329353</v>
      </c>
      <c r="AW153" s="98">
        <v>0.026780626780626777</v>
      </c>
      <c r="AX153" s="81"/>
      <c r="AY153" s="98">
        <v>23.212092134329353</v>
      </c>
      <c r="AZ153" s="98">
        <v>0.04422857142857143</v>
      </c>
      <c r="BA153" s="81"/>
      <c r="BB153" s="98">
        <v>23.212092134329353</v>
      </c>
      <c r="BC153" s="98">
        <v>0.015726495726495725</v>
      </c>
      <c r="BM153" s="2"/>
      <c r="BN153" s="2"/>
      <c r="BP153">
        <v>79</v>
      </c>
      <c r="BQ153">
        <v>78</v>
      </c>
      <c r="BR153" s="2">
        <v>849.664836637493</v>
      </c>
      <c r="BS153" s="2">
        <v>0.18534909367961</v>
      </c>
    </row>
    <row r="154" spans="2:71" ht="12">
      <c r="B154" s="8"/>
      <c r="C154" s="8"/>
      <c r="D154" s="8"/>
      <c r="E154" s="8"/>
      <c r="F154" s="8"/>
      <c r="G154" s="8"/>
      <c r="M154" s="8"/>
      <c r="N154" s="8"/>
      <c r="AC154" s="5"/>
      <c r="AD154" s="5"/>
      <c r="AH154" s="98">
        <v>24.146664216651526</v>
      </c>
      <c r="AI154" s="98">
        <v>0.06857142857142856</v>
      </c>
      <c r="AJ154" s="98">
        <v>9.676410537094464</v>
      </c>
      <c r="AK154" s="98">
        <v>0.022820512820512822</v>
      </c>
      <c r="AL154" s="81"/>
      <c r="AM154" s="98">
        <v>24.146664216651526</v>
      </c>
      <c r="AN154" s="98">
        <v>0.054599999999999996</v>
      </c>
      <c r="AO154" s="81"/>
      <c r="AP154" s="98">
        <v>24.146664216651526</v>
      </c>
      <c r="AQ154" s="98">
        <v>0.027350427350427354</v>
      </c>
      <c r="AR154" s="81"/>
      <c r="AS154" s="98">
        <v>24.146664216651526</v>
      </c>
      <c r="AT154" s="98">
        <v>0.052142857142857144</v>
      </c>
      <c r="AU154" s="81"/>
      <c r="AV154" s="98">
        <v>24.146664216651526</v>
      </c>
      <c r="AW154" s="98">
        <v>0.028119658119658116</v>
      </c>
      <c r="AX154" s="81"/>
      <c r="AY154" s="98">
        <v>24.146664216651526</v>
      </c>
      <c r="AZ154" s="98">
        <v>0.046285714285714284</v>
      </c>
      <c r="BA154" s="81"/>
      <c r="BB154" s="98">
        <v>24.146664216651526</v>
      </c>
      <c r="BC154" s="98">
        <v>0.01641025641025641</v>
      </c>
      <c r="BM154" s="2"/>
      <c r="BN154" s="2"/>
      <c r="BP154">
        <v>80</v>
      </c>
      <c r="BQ154">
        <v>79</v>
      </c>
      <c r="BR154" s="2">
        <v>1284.2262463038</v>
      </c>
      <c r="BS154" s="2">
        <v>0.190965115406831</v>
      </c>
    </row>
    <row r="155" spans="2:71" ht="12">
      <c r="B155" s="8"/>
      <c r="C155" s="8"/>
      <c r="D155" s="8"/>
      <c r="E155" s="8"/>
      <c r="F155" s="8"/>
      <c r="G155" s="8"/>
      <c r="M155" s="8"/>
      <c r="N155" s="8"/>
      <c r="AC155" s="5"/>
      <c r="AD155" s="5"/>
      <c r="AH155" s="98">
        <v>25.118864315095706</v>
      </c>
      <c r="AI155" s="98">
        <v>0.072</v>
      </c>
      <c r="AJ155" s="98">
        <v>9.999999999999925</v>
      </c>
      <c r="AK155" s="98">
        <v>0.022820512820512822</v>
      </c>
      <c r="AL155" s="81"/>
      <c r="AM155" s="98">
        <v>25.118864315095706</v>
      </c>
      <c r="AN155" s="98">
        <v>0.0572</v>
      </c>
      <c r="AO155" s="81"/>
      <c r="AP155" s="98">
        <v>25.118864315095706</v>
      </c>
      <c r="AQ155" s="98">
        <v>0.027350427350427354</v>
      </c>
      <c r="AR155" s="81"/>
      <c r="AS155" s="98">
        <v>25.118864315095706</v>
      </c>
      <c r="AT155" s="98">
        <v>0.05422857142857143</v>
      </c>
      <c r="AU155" s="81"/>
      <c r="AV155" s="98">
        <v>25.118864315095706</v>
      </c>
      <c r="AW155" s="98">
        <v>0.029458689458689454</v>
      </c>
      <c r="AX155" s="81"/>
      <c r="AY155" s="98">
        <v>25.118864315095706</v>
      </c>
      <c r="AZ155" s="98">
        <v>0.048342857142857146</v>
      </c>
      <c r="BA155" s="81"/>
      <c r="BB155" s="98">
        <v>25.118864315095706</v>
      </c>
      <c r="BC155" s="98">
        <v>0.017094017094017096</v>
      </c>
      <c r="BM155" s="2"/>
      <c r="BN155" s="2"/>
      <c r="BP155">
        <v>81</v>
      </c>
      <c r="BQ155">
        <v>80</v>
      </c>
      <c r="BR155" s="2">
        <v>2153.34906563642</v>
      </c>
      <c r="BS155" s="2">
        <v>0.195064534054585</v>
      </c>
    </row>
    <row r="156" spans="2:71" ht="12">
      <c r="B156" s="8"/>
      <c r="C156" s="8"/>
      <c r="D156" s="8"/>
      <c r="E156" s="8"/>
      <c r="F156" s="8"/>
      <c r="G156" s="8"/>
      <c r="M156" s="8"/>
      <c r="N156" s="8"/>
      <c r="AC156" s="5"/>
      <c r="AD156" s="5"/>
      <c r="AH156" s="98">
        <v>26.13020741991685</v>
      </c>
      <c r="AI156" s="98">
        <v>0.07542857142857143</v>
      </c>
      <c r="AJ156" s="98">
        <v>10.334410638805487</v>
      </c>
      <c r="AK156" s="98">
        <v>0.022820512820512822</v>
      </c>
      <c r="AL156" s="81"/>
      <c r="AM156" s="98">
        <v>26.13020741991685</v>
      </c>
      <c r="AN156" s="98">
        <v>0.0598</v>
      </c>
      <c r="AO156" s="81"/>
      <c r="AP156" s="98">
        <v>26.13020741991685</v>
      </c>
      <c r="AQ156" s="98">
        <v>0.029173789173789176</v>
      </c>
      <c r="AR156" s="81"/>
      <c r="AS156" s="98">
        <v>26.13020741991685</v>
      </c>
      <c r="AT156" s="98">
        <v>0.05631428571428572</v>
      </c>
      <c r="AU156" s="81"/>
      <c r="AV156" s="98">
        <v>26.13020741991685</v>
      </c>
      <c r="AW156" s="98">
        <v>0.029458689458689454</v>
      </c>
      <c r="AX156" s="81"/>
      <c r="AY156" s="98">
        <v>26.13020741991685</v>
      </c>
      <c r="AZ156" s="98">
        <v>0.0504</v>
      </c>
      <c r="BA156" s="81"/>
      <c r="BB156" s="98">
        <v>26.13020741991685</v>
      </c>
      <c r="BC156" s="98">
        <v>0.017777777777777778</v>
      </c>
      <c r="BM156" s="2"/>
      <c r="BN156" s="2"/>
      <c r="BP156">
        <v>82</v>
      </c>
      <c r="BQ156">
        <v>81</v>
      </c>
      <c r="BR156" s="2">
        <v>3891.59470430166</v>
      </c>
      <c r="BS156" s="2">
        <v>0.197946838533786</v>
      </c>
    </row>
    <row r="157" spans="2:71" ht="12">
      <c r="B157" s="8"/>
      <c r="C157" s="8"/>
      <c r="D157" s="8"/>
      <c r="E157" s="8"/>
      <c r="F157" s="8"/>
      <c r="G157" s="8"/>
      <c r="M157" s="8"/>
      <c r="N157" s="8"/>
      <c r="AC157" s="5"/>
      <c r="AD157" s="5"/>
      <c r="AH157" s="98">
        <v>27.18226951835327</v>
      </c>
      <c r="AI157" s="98">
        <v>0.07542857142857143</v>
      </c>
      <c r="AJ157" s="98">
        <v>10.680004325145678</v>
      </c>
      <c r="AK157" s="98">
        <v>0.02535612535612536</v>
      </c>
      <c r="AL157" s="81"/>
      <c r="AM157" s="98">
        <v>27.18226951835327</v>
      </c>
      <c r="AN157" s="98">
        <v>0.0624</v>
      </c>
      <c r="AO157" s="81"/>
      <c r="AP157" s="98">
        <v>27.18226951835327</v>
      </c>
      <c r="AQ157" s="98">
        <v>0.029173789173789176</v>
      </c>
      <c r="AR157" s="81"/>
      <c r="AS157" s="98">
        <v>27.18226951835327</v>
      </c>
      <c r="AT157" s="98">
        <v>0.06048571428571429</v>
      </c>
      <c r="AU157" s="81"/>
      <c r="AV157" s="98">
        <v>27.18226951835327</v>
      </c>
      <c r="AW157" s="98">
        <v>0.030797720797720793</v>
      </c>
      <c r="AX157" s="81"/>
      <c r="AY157" s="98">
        <v>27.18226951835327</v>
      </c>
      <c r="AZ157" s="98">
        <v>0.05245714285714286</v>
      </c>
      <c r="BA157" s="81"/>
      <c r="BB157" s="98">
        <v>27.18226951835327</v>
      </c>
      <c r="BC157" s="98">
        <v>0.01846153846153846</v>
      </c>
      <c r="BM157" s="2"/>
      <c r="BN157" s="2"/>
      <c r="BP157">
        <v>83</v>
      </c>
      <c r="BQ157">
        <v>82</v>
      </c>
      <c r="BR157" s="2">
        <v>7368.08598163214</v>
      </c>
      <c r="BS157" s="2">
        <v>0.200044604763641</v>
      </c>
    </row>
    <row r="158" spans="2:71" ht="12">
      <c r="B158" s="8"/>
      <c r="C158" s="8"/>
      <c r="D158" s="8"/>
      <c r="E158" s="8"/>
      <c r="F158" s="8"/>
      <c r="G158" s="8"/>
      <c r="M158" s="8"/>
      <c r="N158" s="8"/>
      <c r="AC158" s="5"/>
      <c r="AD158" s="5"/>
      <c r="AH158" s="98">
        <v>28.2766900505051</v>
      </c>
      <c r="AI158" s="98">
        <v>0.07885714285714285</v>
      </c>
      <c r="AJ158" s="98">
        <v>11.037155032027488</v>
      </c>
      <c r="AK158" s="98">
        <v>0.02535612535612536</v>
      </c>
      <c r="AL158" s="81"/>
      <c r="AM158" s="98">
        <v>28.2766900505051</v>
      </c>
      <c r="AN158" s="98">
        <v>0.065</v>
      </c>
      <c r="AO158" s="81"/>
      <c r="AP158" s="98">
        <v>28.2766900505051</v>
      </c>
      <c r="AQ158" s="98">
        <v>0.030997150997151</v>
      </c>
      <c r="AR158" s="81"/>
      <c r="AS158" s="98">
        <v>28.2766900505051</v>
      </c>
      <c r="AT158" s="98">
        <v>0.06257142857142857</v>
      </c>
      <c r="AU158" s="81"/>
      <c r="AV158" s="98">
        <v>28.2766900505051</v>
      </c>
      <c r="AW158" s="98">
        <v>0.032136752136752135</v>
      </c>
      <c r="AX158" s="81"/>
      <c r="AY158" s="98">
        <v>28.2766900505051</v>
      </c>
      <c r="AZ158" s="98">
        <v>0.054514285714285717</v>
      </c>
      <c r="BA158" s="81"/>
      <c r="BB158" s="98">
        <v>28.2766900505051</v>
      </c>
      <c r="BC158" s="98">
        <v>0.019145299145299145</v>
      </c>
      <c r="BM158" s="2"/>
      <c r="BN158" s="2"/>
      <c r="BP158">
        <v>84</v>
      </c>
      <c r="BQ158">
        <v>83</v>
      </c>
      <c r="BR158" s="2">
        <v>14321.0685362931</v>
      </c>
      <c r="BS158" s="2">
        <v>0.201940701735363</v>
      </c>
    </row>
    <row r="159" spans="2:71" ht="12">
      <c r="B159" s="8"/>
      <c r="C159" s="8"/>
      <c r="D159" s="8"/>
      <c r="E159" s="8"/>
      <c r="F159" s="8"/>
      <c r="G159" s="8"/>
      <c r="M159" s="8"/>
      <c r="N159" s="8"/>
      <c r="AC159" s="5"/>
      <c r="AD159" s="5"/>
      <c r="AH159" s="98">
        <v>29.415174464092093</v>
      </c>
      <c r="AI159" s="98">
        <v>0.08228571428571428</v>
      </c>
      <c r="AJ159" s="98">
        <v>11.406249238513121</v>
      </c>
      <c r="AK159" s="98">
        <v>0.02789173789173789</v>
      </c>
      <c r="AL159" s="81"/>
      <c r="AM159" s="98">
        <v>29.415174464092093</v>
      </c>
      <c r="AN159" s="98">
        <v>0.065</v>
      </c>
      <c r="AO159" s="81"/>
      <c r="AP159" s="98">
        <v>29.415174464092093</v>
      </c>
      <c r="AQ159" s="98">
        <v>0.030997150997151</v>
      </c>
      <c r="AR159" s="81"/>
      <c r="AS159" s="98">
        <v>29.415174464092093</v>
      </c>
      <c r="AT159" s="98">
        <v>0.06465714285714286</v>
      </c>
      <c r="AU159" s="81"/>
      <c r="AV159" s="98">
        <v>29.415174464092093</v>
      </c>
      <c r="AW159" s="98">
        <v>0.03347578347578347</v>
      </c>
      <c r="AX159" s="81"/>
      <c r="AY159" s="98">
        <v>29.415174464092093</v>
      </c>
      <c r="AZ159" s="98">
        <v>0.05657142857142857</v>
      </c>
      <c r="BA159" s="81"/>
      <c r="BB159" s="98">
        <v>29.415174464092093</v>
      </c>
      <c r="BC159" s="98">
        <v>0.01982905982905983</v>
      </c>
      <c r="BM159" s="2"/>
      <c r="BN159" s="2"/>
      <c r="BP159">
        <v>85</v>
      </c>
      <c r="BQ159">
        <v>84</v>
      </c>
      <c r="BR159" s="2">
        <v>18250.1</v>
      </c>
      <c r="BS159" s="2">
        <v>0.202617017828587</v>
      </c>
    </row>
    <row r="160" spans="2:66" ht="12">
      <c r="B160" s="8"/>
      <c r="C160" s="8"/>
      <c r="D160" s="8"/>
      <c r="E160" s="8"/>
      <c r="F160" s="8"/>
      <c r="G160" s="8"/>
      <c r="M160" s="8"/>
      <c r="N160" s="8"/>
      <c r="AC160" s="5"/>
      <c r="AD160" s="5"/>
      <c r="AH160" s="98">
        <v>30.599496872071835</v>
      </c>
      <c r="AI160" s="98">
        <v>0.08571428571428572</v>
      </c>
      <c r="AJ160" s="98">
        <v>11.787686347935782</v>
      </c>
      <c r="AK160" s="98">
        <v>0.02789173789173789</v>
      </c>
      <c r="AL160" s="81"/>
      <c r="AM160" s="98">
        <v>30.599496872071835</v>
      </c>
      <c r="AN160" s="98">
        <v>0.0702</v>
      </c>
      <c r="AO160" s="81"/>
      <c r="AP160" s="98">
        <v>30.599496872071835</v>
      </c>
      <c r="AQ160" s="98">
        <v>0.03282051282051282</v>
      </c>
      <c r="AR160" s="81"/>
      <c r="AS160" s="98">
        <v>30.599496872071835</v>
      </c>
      <c r="AT160" s="98">
        <v>0.06882857142857143</v>
      </c>
      <c r="AU160" s="81"/>
      <c r="AV160" s="98">
        <v>30.599496872071835</v>
      </c>
      <c r="AW160" s="98">
        <v>0.03615384615384615</v>
      </c>
      <c r="AX160" s="81"/>
      <c r="AY160" s="98">
        <v>30.599496872071835</v>
      </c>
      <c r="AZ160" s="98">
        <v>0.05965714285714286</v>
      </c>
      <c r="BA160" s="81"/>
      <c r="BB160" s="98">
        <v>30.599496872071835</v>
      </c>
      <c r="BC160" s="98">
        <v>0.021196581196581195</v>
      </c>
      <c r="BM160" s="2"/>
      <c r="BN160" s="2"/>
    </row>
    <row r="161" spans="2:66" ht="12">
      <c r="B161" s="8"/>
      <c r="C161" s="8"/>
      <c r="D161" s="8"/>
      <c r="E161" s="8"/>
      <c r="F161" s="8"/>
      <c r="G161" s="8"/>
      <c r="L161">
        <v>10</v>
      </c>
      <c r="M161" s="8"/>
      <c r="N161" s="8"/>
      <c r="AC161" s="5"/>
      <c r="AD161" s="5"/>
      <c r="AH161" s="98">
        <v>31.831502817259736</v>
      </c>
      <c r="AI161" s="98">
        <v>0.08914285714285713</v>
      </c>
      <c r="AJ161" s="98">
        <v>12.18187912010106</v>
      </c>
      <c r="AK161" s="98">
        <v>0.02789173789173789</v>
      </c>
      <c r="AL161" s="81"/>
      <c r="AM161" s="98">
        <v>31.831502817259736</v>
      </c>
      <c r="AN161" s="98">
        <v>0.0728</v>
      </c>
      <c r="AO161" s="81"/>
      <c r="AP161" s="98">
        <v>31.831502817259736</v>
      </c>
      <c r="AQ161" s="98">
        <v>0.034643874643874646</v>
      </c>
      <c r="AR161" s="81"/>
      <c r="AS161" s="98">
        <v>31.831502817259736</v>
      </c>
      <c r="AT161" s="98">
        <v>0.07091428571428572</v>
      </c>
      <c r="AU161" s="81"/>
      <c r="AV161" s="98">
        <v>31.831502817259736</v>
      </c>
      <c r="AW161" s="98">
        <v>0.03615384615384615</v>
      </c>
      <c r="AX161" s="81"/>
      <c r="AY161" s="98">
        <v>31.831502817259736</v>
      </c>
      <c r="AZ161" s="98">
        <v>0.06274285714285714</v>
      </c>
      <c r="BA161" s="81"/>
      <c r="BB161" s="98">
        <v>31.831502817259736</v>
      </c>
      <c r="BC161" s="98">
        <v>0.02188034188034188</v>
      </c>
      <c r="BM161" s="2"/>
      <c r="BN161" s="2"/>
    </row>
    <row r="162" spans="2:66" ht="12">
      <c r="B162" s="8"/>
      <c r="C162" s="8"/>
      <c r="D162" s="8"/>
      <c r="E162" s="8"/>
      <c r="F162" s="8"/>
      <c r="G162" s="8"/>
      <c r="M162" s="8"/>
      <c r="N162" s="8"/>
      <c r="AC162" s="5"/>
      <c r="AD162" s="5"/>
      <c r="AH162" s="98">
        <v>33.11311214825898</v>
      </c>
      <c r="AI162" s="98">
        <v>0.09257142857142857</v>
      </c>
      <c r="AJ162" s="98">
        <v>12.589254117941572</v>
      </c>
      <c r="AK162" s="98">
        <v>0.030427350427350428</v>
      </c>
      <c r="AL162" s="81"/>
      <c r="AM162" s="98">
        <v>33.11311214825898</v>
      </c>
      <c r="AN162" s="98">
        <v>0.0754</v>
      </c>
      <c r="AO162" s="81"/>
      <c r="AP162" s="98">
        <v>33.11311214825898</v>
      </c>
      <c r="AQ162" s="98">
        <v>0.034643874643874646</v>
      </c>
      <c r="AR162" s="81"/>
      <c r="AS162" s="98">
        <v>33.11311214825898</v>
      </c>
      <c r="AT162" s="98">
        <v>0.07300000000000001</v>
      </c>
      <c r="AU162" s="81"/>
      <c r="AV162" s="98">
        <v>33.11311214825898</v>
      </c>
      <c r="AW162" s="98">
        <v>0.03749287749287749</v>
      </c>
      <c r="AX162" s="81"/>
      <c r="AY162" s="98">
        <v>33.11311214825898</v>
      </c>
      <c r="AZ162" s="98">
        <v>0.0648</v>
      </c>
      <c r="BA162" s="81"/>
      <c r="BB162" s="98">
        <v>33.11311214825898</v>
      </c>
      <c r="BC162" s="98">
        <v>0.022564102564102566</v>
      </c>
      <c r="BM162" s="2"/>
      <c r="BN162" s="2"/>
    </row>
    <row r="163" spans="2:66" ht="12">
      <c r="B163" s="8"/>
      <c r="C163" s="8"/>
      <c r="D163" s="8"/>
      <c r="E163" s="8"/>
      <c r="F163" s="8"/>
      <c r="G163" s="8"/>
      <c r="M163" s="8"/>
      <c r="N163" s="8"/>
      <c r="AC163" s="5"/>
      <c r="AD163" s="5"/>
      <c r="AH163" s="98">
        <v>34.44632201118201</v>
      </c>
      <c r="AI163" s="98">
        <v>0.096</v>
      </c>
      <c r="AJ163" s="98">
        <v>13.01025216910821</v>
      </c>
      <c r="AK163" s="98">
        <v>0.030427350427350428</v>
      </c>
      <c r="AL163" s="81"/>
      <c r="AM163" s="98">
        <v>34.44632201118201</v>
      </c>
      <c r="AN163" s="98">
        <v>0.08059999999999999</v>
      </c>
      <c r="AO163" s="81"/>
      <c r="AP163" s="98">
        <v>34.44632201118201</v>
      </c>
      <c r="AQ163" s="98">
        <v>0.03646723646723647</v>
      </c>
      <c r="AR163" s="81"/>
      <c r="AS163" s="98">
        <v>34.44632201118201</v>
      </c>
      <c r="AT163" s="98">
        <v>0.07717142857142857</v>
      </c>
      <c r="AU163" s="81"/>
      <c r="AV163" s="98">
        <v>34.44632201118201</v>
      </c>
      <c r="AW163" s="98">
        <v>0.04017094017094017</v>
      </c>
      <c r="AX163" s="81"/>
      <c r="AY163" s="98">
        <v>34.44632201118201</v>
      </c>
      <c r="AZ163" s="98">
        <v>0.06788571428571429</v>
      </c>
      <c r="BA163" s="81"/>
      <c r="BB163" s="98">
        <v>34.44632201118201</v>
      </c>
      <c r="BC163" s="98">
        <v>0.02393162393162393</v>
      </c>
      <c r="BM163" s="2"/>
      <c r="BN163" s="2"/>
    </row>
    <row r="164" spans="13:66" ht="12">
      <c r="M164" s="8"/>
      <c r="N164" s="8"/>
      <c r="AC164" s="5"/>
      <c r="AD164" s="5"/>
      <c r="AH164" s="98">
        <v>35.83320996182561</v>
      </c>
      <c r="AI164" s="98">
        <v>0.09942857142857142</v>
      </c>
      <c r="AJ164" s="98">
        <v>13.4453288429975</v>
      </c>
      <c r="AK164" s="98">
        <v>0.030427350427350428</v>
      </c>
      <c r="AL164" s="81"/>
      <c r="AM164" s="98">
        <v>35.83320996182561</v>
      </c>
      <c r="AN164" s="98">
        <v>0.0832</v>
      </c>
      <c r="AO164" s="81"/>
      <c r="AP164" s="98">
        <v>35.83320996182561</v>
      </c>
      <c r="AQ164" s="98">
        <v>0.03829059829059829</v>
      </c>
      <c r="AR164" s="81"/>
      <c r="AS164" s="98">
        <v>35.83320996182561</v>
      </c>
      <c r="AT164" s="98">
        <v>0.07925714285714286</v>
      </c>
      <c r="AU164" s="81"/>
      <c r="AV164" s="98">
        <v>35.83320996182561</v>
      </c>
      <c r="AW164" s="98">
        <v>0.0415099715099715</v>
      </c>
      <c r="AX164" s="81"/>
      <c r="AY164" s="98">
        <v>35.83320996182561</v>
      </c>
      <c r="AZ164" s="98">
        <v>0.07097142857142857</v>
      </c>
      <c r="BA164" s="81"/>
      <c r="BB164" s="98">
        <v>35.83320996182561</v>
      </c>
      <c r="BC164" s="98">
        <v>0.0252991452991453</v>
      </c>
      <c r="BM164" s="2"/>
      <c r="BN164" s="2"/>
    </row>
    <row r="165" spans="13:66" ht="12">
      <c r="M165" s="8"/>
      <c r="N165" s="8"/>
      <c r="AC165" s="5"/>
      <c r="AD165" s="5"/>
      <c r="AH165" s="98">
        <v>37.27593720314925</v>
      </c>
      <c r="AI165" s="98">
        <v>0.10285714285714286</v>
      </c>
      <c r="AJ165" s="98">
        <v>13.89495494373126</v>
      </c>
      <c r="AK165" s="98">
        <v>0.032962962962962965</v>
      </c>
      <c r="AL165" s="81"/>
      <c r="AM165" s="98">
        <v>37.27593720314925</v>
      </c>
      <c r="AN165" s="98">
        <v>0.0832</v>
      </c>
      <c r="AO165" s="81"/>
      <c r="AP165" s="98">
        <v>37.27593720314925</v>
      </c>
      <c r="AQ165" s="98">
        <v>0.040113960113960116</v>
      </c>
      <c r="AR165" s="81"/>
      <c r="AS165" s="98">
        <v>37.27593720314925</v>
      </c>
      <c r="AT165" s="98">
        <v>0.08134285714285715</v>
      </c>
      <c r="AU165" s="81"/>
      <c r="AV165" s="98">
        <v>37.27593720314925</v>
      </c>
      <c r="AW165" s="98">
        <v>0.044188034188034186</v>
      </c>
      <c r="AX165" s="81"/>
      <c r="AY165" s="98">
        <v>37.27593720314925</v>
      </c>
      <c r="AZ165" s="98">
        <v>0.07302857142857143</v>
      </c>
      <c r="BA165" s="81"/>
      <c r="BB165" s="98">
        <v>37.27593720314925</v>
      </c>
      <c r="BC165" s="98">
        <v>0.025982905982905983</v>
      </c>
      <c r="BM165" s="2"/>
      <c r="BN165" s="2"/>
    </row>
    <row r="166" spans="12:66" ht="12">
      <c r="L166">
        <v>15</v>
      </c>
      <c r="M166" s="8"/>
      <c r="N166" s="8"/>
      <c r="AC166" s="5"/>
      <c r="AD166" s="5"/>
      <c r="AH166" s="98">
        <v>38.776751953101744</v>
      </c>
      <c r="AI166" s="98">
        <v>0.10628571428571428</v>
      </c>
      <c r="AJ166" s="98">
        <v>14.359617019622025</v>
      </c>
      <c r="AK166" s="98">
        <v>0.032962962962962965</v>
      </c>
      <c r="AL166" s="81"/>
      <c r="AM166" s="98">
        <v>38.776751953101744</v>
      </c>
      <c r="AN166" s="98">
        <v>0.08839999999999999</v>
      </c>
      <c r="AO166" s="81"/>
      <c r="AP166" s="98">
        <v>38.776751953101744</v>
      </c>
      <c r="AQ166" s="98">
        <v>0.04193732193732194</v>
      </c>
      <c r="AR166" s="81"/>
      <c r="AS166" s="98">
        <v>38.776751953101744</v>
      </c>
      <c r="AT166" s="98">
        <v>0.08551428571428572</v>
      </c>
      <c r="AU166" s="81"/>
      <c r="AV166" s="98">
        <v>38.776751953101744</v>
      </c>
      <c r="AW166" s="98">
        <v>0.044188034188034186</v>
      </c>
      <c r="AX166" s="81"/>
      <c r="AY166" s="98">
        <v>38.776751953101744</v>
      </c>
      <c r="AZ166" s="98">
        <v>0.07508571428571428</v>
      </c>
      <c r="BA166" s="81"/>
      <c r="BB166" s="98">
        <v>38.776751953101744</v>
      </c>
      <c r="BC166" s="98">
        <v>0.02735042735042735</v>
      </c>
      <c r="BM166" s="2"/>
      <c r="BN166" s="2"/>
    </row>
    <row r="167" spans="13:66" ht="12">
      <c r="M167" s="8"/>
      <c r="N167" s="8"/>
      <c r="AC167" s="5"/>
      <c r="AD167" s="5"/>
      <c r="AH167" s="98">
        <v>40.33799294804439</v>
      </c>
      <c r="AI167" s="98">
        <v>0.11314285714285714</v>
      </c>
      <c r="AJ167" s="98">
        <v>14.839817889675524</v>
      </c>
      <c r="AK167" s="98">
        <v>0.0354985754985755</v>
      </c>
      <c r="AL167" s="81"/>
      <c r="AM167" s="98">
        <v>40.33799294804439</v>
      </c>
      <c r="AN167" s="98">
        <v>0.09359999999999999</v>
      </c>
      <c r="AO167" s="81"/>
      <c r="AP167" s="98">
        <v>40.33799294804439</v>
      </c>
      <c r="AQ167" s="98">
        <v>0.04376068376068376</v>
      </c>
      <c r="AR167" s="81"/>
      <c r="AS167" s="98">
        <v>40.33799294804439</v>
      </c>
      <c r="AT167" s="98">
        <v>0.08968571428571429</v>
      </c>
      <c r="AU167" s="81"/>
      <c r="AV167" s="98">
        <v>40.33799294804439</v>
      </c>
      <c r="AW167" s="98">
        <v>0.046866096866096864</v>
      </c>
      <c r="AX167" s="81"/>
      <c r="AY167" s="98">
        <v>40.33799294804439</v>
      </c>
      <c r="AZ167" s="98">
        <v>0.0792</v>
      </c>
      <c r="BA167" s="81"/>
      <c r="BB167" s="98">
        <v>40.33799294804439</v>
      </c>
      <c r="BC167" s="98">
        <v>0.028717948717948718</v>
      </c>
      <c r="BM167" s="2"/>
      <c r="BN167" s="2"/>
    </row>
    <row r="168" spans="13:55" ht="12">
      <c r="M168" s="8"/>
      <c r="N168" s="8"/>
      <c r="AC168" s="5"/>
      <c r="AD168" s="5"/>
      <c r="AH168" s="98">
        <v>41.96209308722989</v>
      </c>
      <c r="AI168" s="98">
        <v>0.11657142857142856</v>
      </c>
      <c r="AJ168" s="98">
        <v>15.336077187699983</v>
      </c>
      <c r="AK168" s="98">
        <v>0.0354985754985755</v>
      </c>
      <c r="AL168" s="81"/>
      <c r="AM168" s="98">
        <v>41.96209308722989</v>
      </c>
      <c r="AN168" s="98">
        <v>0.0988</v>
      </c>
      <c r="AO168" s="81"/>
      <c r="AP168" s="98">
        <v>41.96209308722989</v>
      </c>
      <c r="AQ168" s="98">
        <v>0.045584045584045586</v>
      </c>
      <c r="AR168" s="81"/>
      <c r="AS168" s="98">
        <v>41.96209308722989</v>
      </c>
      <c r="AT168" s="98">
        <v>0.09385714285714286</v>
      </c>
      <c r="AU168" s="81"/>
      <c r="AV168" s="98">
        <v>41.96209308722989</v>
      </c>
      <c r="AW168" s="98">
        <v>0.04954415954415954</v>
      </c>
      <c r="AX168" s="81"/>
      <c r="AY168" s="98">
        <v>41.96209308722989</v>
      </c>
      <c r="AZ168" s="98">
        <v>0.08331428571428572</v>
      </c>
      <c r="BA168" s="81"/>
      <c r="BB168" s="98">
        <v>41.96209308722989</v>
      </c>
      <c r="BC168" s="98">
        <v>0.030085470085470085</v>
      </c>
    </row>
    <row r="169" spans="2:55" ht="12">
      <c r="B169" s="8"/>
      <c r="C169" s="8"/>
      <c r="D169" s="8"/>
      <c r="E169" s="8"/>
      <c r="F169" s="8"/>
      <c r="G169" s="8"/>
      <c r="M169" s="8"/>
      <c r="N169" s="8"/>
      <c r="AC169" s="5"/>
      <c r="AD169" s="5"/>
      <c r="AH169" s="98">
        <v>43.651583224016406</v>
      </c>
      <c r="AI169" s="98">
        <v>0.12342857142857142</v>
      </c>
      <c r="AJ169" s="98">
        <v>15.848931924610996</v>
      </c>
      <c r="AK169" s="98">
        <v>0.03803418803418804</v>
      </c>
      <c r="AL169" s="81"/>
      <c r="AM169" s="98">
        <v>43.651583224016406</v>
      </c>
      <c r="AN169" s="98">
        <v>0.10139999999999999</v>
      </c>
      <c r="AO169" s="81"/>
      <c r="AP169" s="98">
        <v>43.651583224016406</v>
      </c>
      <c r="AQ169" s="98">
        <v>0.045584045584045586</v>
      </c>
      <c r="AR169" s="81"/>
      <c r="AS169" s="98">
        <v>43.651583224016406</v>
      </c>
      <c r="AT169" s="98">
        <v>0.09802857142857144</v>
      </c>
      <c r="AU169" s="81"/>
      <c r="AV169" s="98">
        <v>43.651583224016406</v>
      </c>
      <c r="AW169" s="98">
        <v>0.050883190883190876</v>
      </c>
      <c r="AX169" s="81"/>
      <c r="AY169" s="98">
        <v>43.651583224016406</v>
      </c>
      <c r="AZ169" s="98">
        <v>0.08742857142857142</v>
      </c>
      <c r="BA169" s="81"/>
      <c r="BB169" s="98">
        <v>43.651583224016406</v>
      </c>
      <c r="BC169" s="98">
        <v>0.03145299145299145</v>
      </c>
    </row>
    <row r="170" spans="13:55" ht="12">
      <c r="M170" s="8"/>
      <c r="N170" s="8"/>
      <c r="AC170" s="5"/>
      <c r="AD170" s="5"/>
      <c r="AH170" s="98">
        <v>45.40909610972456</v>
      </c>
      <c r="AI170" s="98">
        <v>0.12685714285714286</v>
      </c>
      <c r="AJ170" s="98">
        <v>16.378937069540495</v>
      </c>
      <c r="AK170" s="98">
        <v>0.03803418803418804</v>
      </c>
      <c r="AL170" s="81"/>
      <c r="AM170" s="98">
        <v>45.40909610972456</v>
      </c>
      <c r="AN170" s="98">
        <v>0.1066</v>
      </c>
      <c r="AO170" s="81"/>
      <c r="AP170" s="98">
        <v>45.40909610972456</v>
      </c>
      <c r="AQ170" s="98">
        <v>0.04923076923076924</v>
      </c>
      <c r="AR170" s="81"/>
      <c r="AS170" s="98">
        <v>45.40909610972456</v>
      </c>
      <c r="AT170" s="98">
        <v>0.1022</v>
      </c>
      <c r="AU170" s="81"/>
      <c r="AV170" s="98">
        <v>45.40909610972456</v>
      </c>
      <c r="AW170" s="98">
        <v>0.053561253561253554</v>
      </c>
      <c r="AX170" s="81"/>
      <c r="AY170" s="98">
        <v>45.40909610972456</v>
      </c>
      <c r="AZ170" s="98">
        <v>0.09154285714285715</v>
      </c>
      <c r="BA170" s="81"/>
      <c r="BB170" s="98">
        <v>45.40909610972456</v>
      </c>
      <c r="BC170" s="98">
        <v>0.03282051282051282</v>
      </c>
    </row>
    <row r="171" spans="14:55" ht="12">
      <c r="N171" s="8"/>
      <c r="AC171" s="5"/>
      <c r="AD171" s="5"/>
      <c r="AH171" s="98">
        <v>47.23737049628318</v>
      </c>
      <c r="AI171" s="98">
        <v>0.13028571428571428</v>
      </c>
      <c r="AJ171" s="98">
        <v>16.926666150378605</v>
      </c>
      <c r="AK171" s="98">
        <v>0.04056980056980057</v>
      </c>
      <c r="AL171" s="81"/>
      <c r="AM171" s="98">
        <v>47.23737049628318</v>
      </c>
      <c r="AN171" s="98">
        <v>0.1118</v>
      </c>
      <c r="AO171" s="81"/>
      <c r="AP171" s="98">
        <v>47.23737049628318</v>
      </c>
      <c r="AQ171" s="98">
        <v>0.051054131054131056</v>
      </c>
      <c r="AR171" s="81"/>
      <c r="AS171" s="98">
        <v>47.23737049628318</v>
      </c>
      <c r="AT171" s="98">
        <v>0.10637142857142858</v>
      </c>
      <c r="AU171" s="81"/>
      <c r="AV171" s="98">
        <v>47.23737049628318</v>
      </c>
      <c r="AW171" s="98">
        <v>0.054900284900284896</v>
      </c>
      <c r="AX171" s="81"/>
      <c r="AY171" s="98">
        <v>47.23737049628318</v>
      </c>
      <c r="AZ171" s="98">
        <v>0.09565714285714286</v>
      </c>
      <c r="BA171" s="81"/>
      <c r="BB171" s="98">
        <v>47.23737049628318</v>
      </c>
      <c r="BC171" s="98">
        <v>0.03418803418803419</v>
      </c>
    </row>
    <row r="172" spans="14:55" ht="12">
      <c r="N172" s="8"/>
      <c r="AC172" s="5"/>
      <c r="AD172" s="5"/>
      <c r="AH172" s="98">
        <v>49.139255404056954</v>
      </c>
      <c r="AI172" s="98">
        <v>0.13714285714285712</v>
      </c>
      <c r="AJ172" s="98">
        <v>17.492711874398264</v>
      </c>
      <c r="AK172" s="98">
        <v>0.04056980056980057</v>
      </c>
      <c r="AL172" s="81"/>
      <c r="AM172" s="98">
        <v>49.139255404056954</v>
      </c>
      <c r="AN172" s="98">
        <v>0.1144</v>
      </c>
      <c r="AO172" s="81"/>
      <c r="AP172" s="98">
        <v>49.139255404056954</v>
      </c>
      <c r="AQ172" s="98">
        <v>0.05287749287749288</v>
      </c>
      <c r="AR172" s="81"/>
      <c r="AS172" s="98">
        <v>49.139255404056954</v>
      </c>
      <c r="AT172" s="98">
        <v>0.11262857142857144</v>
      </c>
      <c r="AU172" s="81"/>
      <c r="AV172" s="98">
        <v>49.139255404056954</v>
      </c>
      <c r="AW172" s="98">
        <v>0.05757834757834757</v>
      </c>
      <c r="AX172" s="81"/>
      <c r="AY172" s="98">
        <v>49.139255404056954</v>
      </c>
      <c r="AZ172" s="98">
        <v>0.09874285714285715</v>
      </c>
      <c r="BA172" s="81"/>
      <c r="BB172" s="98">
        <v>49.139255404056954</v>
      </c>
      <c r="BC172" s="98">
        <v>0.035555555555555556</v>
      </c>
    </row>
    <row r="173" spans="14:55" ht="12">
      <c r="N173" s="8"/>
      <c r="AC173" s="5"/>
      <c r="AD173" s="5"/>
      <c r="AH173" s="98">
        <v>51.11771456150667</v>
      </c>
      <c r="AI173" s="98">
        <v>0.14057142857142857</v>
      </c>
      <c r="AJ173" s="98">
        <v>18.077686769634177</v>
      </c>
      <c r="AK173" s="98">
        <v>0.043105413105413104</v>
      </c>
      <c r="AL173" s="81"/>
      <c r="AM173" s="98">
        <v>51.11771456150667</v>
      </c>
      <c r="AN173" s="98">
        <v>0.1196</v>
      </c>
      <c r="AO173" s="81"/>
      <c r="AP173" s="98">
        <v>51.11771456150667</v>
      </c>
      <c r="AQ173" s="98">
        <v>0.05287749287749288</v>
      </c>
      <c r="AR173" s="81"/>
      <c r="AS173" s="98">
        <v>51.11771456150667</v>
      </c>
      <c r="AT173" s="98">
        <v>0.1168</v>
      </c>
      <c r="AU173" s="81"/>
      <c r="AV173" s="98">
        <v>51.11771456150667</v>
      </c>
      <c r="AW173" s="98">
        <v>0.05757834757834757</v>
      </c>
      <c r="AX173" s="81"/>
      <c r="AY173" s="98">
        <v>51.11771456150667</v>
      </c>
      <c r="AZ173" s="98">
        <v>0.10285714285714286</v>
      </c>
      <c r="BA173" s="81"/>
      <c r="BB173" s="98">
        <v>51.11771456150667</v>
      </c>
      <c r="BC173" s="98">
        <v>0.03692307692307692</v>
      </c>
    </row>
    <row r="174" spans="29:55" ht="12">
      <c r="AC174" s="5"/>
      <c r="AD174" s="5"/>
      <c r="AH174" s="98">
        <v>53.17583102360033</v>
      </c>
      <c r="AI174" s="98">
        <v>0.1474285714285714</v>
      </c>
      <c r="AJ174" s="98">
        <v>18.682223847710194</v>
      </c>
      <c r="AK174" s="98">
        <v>0.043105413105413104</v>
      </c>
      <c r="AL174" s="81"/>
      <c r="AM174" s="98">
        <v>53.17583102360033</v>
      </c>
      <c r="AN174" s="98">
        <v>0.1248</v>
      </c>
      <c r="AO174" s="81"/>
      <c r="AP174" s="98">
        <v>53.17583102360033</v>
      </c>
      <c r="AQ174" s="98">
        <v>0.05287749287749288</v>
      </c>
      <c r="AR174" s="81"/>
      <c r="AS174" s="98">
        <v>53.17583102360033</v>
      </c>
      <c r="AT174" s="98">
        <v>0.12097142857142858</v>
      </c>
      <c r="AU174" s="81"/>
      <c r="AV174" s="98">
        <v>53.17583102360033</v>
      </c>
      <c r="AW174" s="98">
        <v>0.05891737891737891</v>
      </c>
      <c r="AX174" s="81"/>
      <c r="AY174" s="98">
        <v>53.17583102360033</v>
      </c>
      <c r="AZ174" s="98">
        <v>0.10697142857142858</v>
      </c>
      <c r="BA174" s="81"/>
      <c r="BB174" s="98">
        <v>53.17583102360033</v>
      </c>
      <c r="BC174" s="98">
        <v>0.03829059829059829</v>
      </c>
    </row>
    <row r="175" spans="29:55" ht="12">
      <c r="AC175" s="5"/>
      <c r="AD175" s="5"/>
      <c r="AH175" s="98">
        <v>55.31681197617202</v>
      </c>
      <c r="AI175" s="98">
        <v>0.15085714285714286</v>
      </c>
      <c r="AJ175" s="98">
        <v>19.306977288832318</v>
      </c>
      <c r="AK175" s="98">
        <v>0.045641025641025644</v>
      </c>
      <c r="AL175" s="81"/>
      <c r="AM175" s="98">
        <v>55.31681197617202</v>
      </c>
      <c r="AN175" s="98">
        <v>0.12739999999999999</v>
      </c>
      <c r="AO175" s="81"/>
      <c r="AP175" s="98">
        <v>55.31681197617202</v>
      </c>
      <c r="AQ175" s="98">
        <v>0.05287749287749288</v>
      </c>
      <c r="AR175" s="81"/>
      <c r="AS175" s="98">
        <v>55.31681197617202</v>
      </c>
      <c r="AT175" s="98">
        <v>0.12514285714285714</v>
      </c>
      <c r="AU175" s="81"/>
      <c r="AV175" s="98">
        <v>55.31681197617202</v>
      </c>
      <c r="AW175" s="98">
        <v>0.06025641025641025</v>
      </c>
      <c r="AX175" s="81"/>
      <c r="AY175" s="98">
        <v>55.31681197617202</v>
      </c>
      <c r="AZ175" s="98">
        <v>0.11108571428571429</v>
      </c>
      <c r="BA175" s="81"/>
      <c r="BB175" s="98">
        <v>55.31681197617202</v>
      </c>
      <c r="BC175" s="98">
        <v>0.03965811965811966</v>
      </c>
    </row>
    <row r="176" spans="29:55" ht="12">
      <c r="AC176" s="5"/>
      <c r="AD176" s="5"/>
      <c r="AH176" s="98">
        <v>57.54399373371543</v>
      </c>
      <c r="AI176" s="98">
        <v>0.15428571428571428</v>
      </c>
      <c r="AJ176" s="98">
        <v>19.952623149688606</v>
      </c>
      <c r="AK176" s="98">
        <v>0.04817663817663818</v>
      </c>
      <c r="AL176" s="81"/>
      <c r="AM176" s="98">
        <v>57.54399373371543</v>
      </c>
      <c r="AN176" s="98">
        <v>0.1326</v>
      </c>
      <c r="AO176" s="81"/>
      <c r="AP176" s="98">
        <v>57.54399373371543</v>
      </c>
      <c r="AQ176" s="98">
        <v>0.056524216524216526</v>
      </c>
      <c r="AR176" s="81"/>
      <c r="AS176" s="98">
        <v>57.54399373371543</v>
      </c>
      <c r="AT176" s="98">
        <v>0.12931428571428571</v>
      </c>
      <c r="AU176" s="81"/>
      <c r="AV176" s="98">
        <v>57.54399373371543</v>
      </c>
      <c r="AW176" s="98">
        <v>0.06293447293447292</v>
      </c>
      <c r="AX176" s="81"/>
      <c r="AY176" s="98">
        <v>57.54399373371543</v>
      </c>
      <c r="AZ176" s="98">
        <v>0.1152</v>
      </c>
      <c r="BA176" s="81"/>
      <c r="BB176" s="98">
        <v>57.54399373371543</v>
      </c>
      <c r="BC176" s="98">
        <v>0.041025641025641026</v>
      </c>
    </row>
    <row r="177" spans="29:55" ht="12">
      <c r="AC177" s="5"/>
      <c r="AD177" s="5"/>
      <c r="AH177" s="98">
        <v>59.860846938399916</v>
      </c>
      <c r="AI177" s="98">
        <v>0.16114285714285714</v>
      </c>
      <c r="AJ177" s="98">
        <v>20.619860095022002</v>
      </c>
      <c r="AK177" s="98">
        <v>0.04817663817663818</v>
      </c>
      <c r="AL177" s="81"/>
      <c r="AM177" s="98">
        <v>59.860846938399916</v>
      </c>
      <c r="AN177" s="98">
        <v>0.1378</v>
      </c>
      <c r="AO177" s="81"/>
      <c r="AP177" s="98">
        <v>59.860846938399916</v>
      </c>
      <c r="AQ177" s="98">
        <v>0.05834757834757835</v>
      </c>
      <c r="AR177" s="81"/>
      <c r="AS177" s="98">
        <v>59.860846938399916</v>
      </c>
      <c r="AT177" s="98">
        <v>0.1334857142857143</v>
      </c>
      <c r="AU177" s="81"/>
      <c r="AV177" s="98">
        <v>59.860846938399916</v>
      </c>
      <c r="AW177" s="98">
        <v>0.06695156695156694</v>
      </c>
      <c r="AX177" s="81"/>
      <c r="AY177" s="98">
        <v>59.860846938399916</v>
      </c>
      <c r="AZ177" s="98">
        <v>0.11828571428571429</v>
      </c>
      <c r="BA177" s="81"/>
      <c r="BB177" s="98">
        <v>59.860846938399916</v>
      </c>
      <c r="BC177" s="98">
        <v>0.04239316239316239</v>
      </c>
    </row>
    <row r="178" spans="29:55" ht="12">
      <c r="AC178" s="5"/>
      <c r="AD178" s="5"/>
      <c r="AH178" s="98">
        <v>62.270981968410894</v>
      </c>
      <c r="AI178" s="98">
        <v>0.16457142857142856</v>
      </c>
      <c r="AJ178" s="98">
        <v>21.309410153667763</v>
      </c>
      <c r="AK178" s="98">
        <v>0.04817663817663818</v>
      </c>
      <c r="AL178" s="81"/>
      <c r="AM178" s="98">
        <v>62.270981968410894</v>
      </c>
      <c r="AN178" s="98">
        <v>0.143</v>
      </c>
      <c r="AO178" s="81"/>
      <c r="AP178" s="98">
        <v>62.270981968410894</v>
      </c>
      <c r="AQ178" s="98">
        <v>0.061994301994302</v>
      </c>
      <c r="AR178" s="81"/>
      <c r="AS178" s="98">
        <v>62.270981968410894</v>
      </c>
      <c r="AT178" s="98">
        <v>0.13765714285714287</v>
      </c>
      <c r="AU178" s="81"/>
      <c r="AV178" s="98">
        <v>62.270981968410894</v>
      </c>
      <c r="AW178" s="98">
        <v>0.06962962962962962</v>
      </c>
      <c r="AX178" s="81"/>
      <c r="AY178" s="98">
        <v>62.270981968410894</v>
      </c>
      <c r="AZ178" s="98">
        <v>0.12240000000000001</v>
      </c>
      <c r="BA178" s="81"/>
      <c r="BB178" s="98">
        <v>62.270981968410894</v>
      </c>
      <c r="BC178" s="98">
        <v>0.04376068376068376</v>
      </c>
    </row>
    <row r="179" spans="29:55" ht="12">
      <c r="AC179" s="5"/>
      <c r="AD179" s="5"/>
      <c r="AH179" s="98">
        <v>64.77815456404241</v>
      </c>
      <c r="AI179" s="98">
        <v>0.17485714285714285</v>
      </c>
      <c r="AJ179" s="98">
        <v>22.022019499873533</v>
      </c>
      <c r="AK179" s="98">
        <v>0.04817663817663818</v>
      </c>
      <c r="AL179" s="81"/>
      <c r="AM179" s="98">
        <v>64.77815456404241</v>
      </c>
      <c r="AN179" s="98">
        <v>0.1508</v>
      </c>
      <c r="AO179" s="81"/>
      <c r="AP179" s="98">
        <v>64.77815456404241</v>
      </c>
      <c r="AQ179" s="98">
        <v>0.06381766381766382</v>
      </c>
      <c r="AR179" s="81"/>
      <c r="AS179" s="98">
        <v>64.77815456404241</v>
      </c>
      <c r="AT179" s="98">
        <v>0.14600000000000002</v>
      </c>
      <c r="AU179" s="81"/>
      <c r="AV179" s="98">
        <v>64.77815456404241</v>
      </c>
      <c r="AW179" s="98">
        <v>0.0723076923076923</v>
      </c>
      <c r="AX179" s="81"/>
      <c r="AY179" s="98">
        <v>64.77815456404241</v>
      </c>
      <c r="AZ179" s="98">
        <v>0.13062857142857143</v>
      </c>
      <c r="BA179" s="81"/>
      <c r="BB179" s="98">
        <v>64.77815456404241</v>
      </c>
      <c r="BC179" s="98">
        <v>0.046495726495726496</v>
      </c>
    </row>
    <row r="180" spans="29:55" ht="12">
      <c r="AC180" s="5"/>
      <c r="AD180" s="5"/>
      <c r="AH180" s="98">
        <v>67.38627168030914</v>
      </c>
      <c r="AI180" s="98">
        <v>0.17828571428571427</v>
      </c>
      <c r="AJ180" s="98">
        <v>22.758459260747657</v>
      </c>
      <c r="AK180" s="98">
        <v>0.05071225071225072</v>
      </c>
      <c r="AL180" s="81"/>
      <c r="AM180" s="98">
        <v>67.38627168030914</v>
      </c>
      <c r="AN180" s="98">
        <v>0.15339999999999998</v>
      </c>
      <c r="AO180" s="81"/>
      <c r="AP180" s="98">
        <v>67.38627168030914</v>
      </c>
      <c r="AQ180" s="98">
        <v>0.06746438746438747</v>
      </c>
      <c r="AR180" s="81"/>
      <c r="AS180" s="98">
        <v>67.38627168030914</v>
      </c>
      <c r="AT180" s="98">
        <v>0.1480857142857143</v>
      </c>
      <c r="AU180" s="81"/>
      <c r="AV180" s="98">
        <v>67.38627168030914</v>
      </c>
      <c r="AW180" s="98">
        <v>0.07498575498575498</v>
      </c>
      <c r="AX180" s="81"/>
      <c r="AY180" s="98">
        <v>67.38627168030914</v>
      </c>
      <c r="AZ180" s="98">
        <v>0.13371428571428573</v>
      </c>
      <c r="BA180" s="81"/>
      <c r="BB180" s="98">
        <v>67.38627168030914</v>
      </c>
      <c r="BC180" s="98">
        <v>0.04786324786324786</v>
      </c>
    </row>
    <row r="181" spans="29:55" ht="12">
      <c r="AC181" s="5"/>
      <c r="AD181" s="5"/>
      <c r="AH181" s="98">
        <v>70.09939757519797</v>
      </c>
      <c r="AI181" s="98">
        <v>0.18171428571428572</v>
      </c>
      <c r="AJ181" s="98">
        <v>23.51952635070935</v>
      </c>
      <c r="AK181" s="98">
        <v>0.05324786324786325</v>
      </c>
      <c r="AL181" s="81"/>
      <c r="AM181" s="98">
        <v>70.09939757519797</v>
      </c>
      <c r="AN181" s="98">
        <v>0.156</v>
      </c>
      <c r="AO181" s="81"/>
      <c r="AP181" s="98">
        <v>70.09939757519797</v>
      </c>
      <c r="AQ181" s="98">
        <v>0.07111111111111111</v>
      </c>
      <c r="AR181" s="81"/>
      <c r="AS181" s="98">
        <v>70.09939757519797</v>
      </c>
      <c r="AT181" s="98">
        <v>0.15225714285714287</v>
      </c>
      <c r="AU181" s="81"/>
      <c r="AV181" s="98">
        <v>70.09939757519797</v>
      </c>
      <c r="AW181" s="98">
        <v>0.079002849002849</v>
      </c>
      <c r="AX181" s="81"/>
      <c r="AY181" s="98">
        <v>70.09939757519797</v>
      </c>
      <c r="AZ181" s="98">
        <v>0.1368</v>
      </c>
      <c r="BA181" s="81"/>
      <c r="BB181" s="98">
        <v>70.09939757519797</v>
      </c>
      <c r="BC181" s="98">
        <v>0.048547008547008545</v>
      </c>
    </row>
    <row r="182" spans="29:55" ht="12">
      <c r="AC182" s="5"/>
      <c r="AD182" s="5"/>
      <c r="AH182" s="98">
        <v>72.9217601430465</v>
      </c>
      <c r="AI182" s="98">
        <v>0.18857142857142856</v>
      </c>
      <c r="AJ182" s="98">
        <v>24.30604433384384</v>
      </c>
      <c r="AK182" s="98">
        <v>0.05578347578347578</v>
      </c>
      <c r="AL182" s="81"/>
      <c r="AM182" s="98">
        <v>72.9217601430465</v>
      </c>
      <c r="AN182" s="98">
        <v>0.16119999999999998</v>
      </c>
      <c r="AO182" s="81"/>
      <c r="AP182" s="98">
        <v>72.9217601430465</v>
      </c>
      <c r="AQ182" s="98">
        <v>0.07475783475783476</v>
      </c>
      <c r="AR182" s="81"/>
      <c r="AS182" s="98">
        <v>72.9217601430465</v>
      </c>
      <c r="AT182" s="98">
        <v>0.15642857142857144</v>
      </c>
      <c r="AU182" s="81"/>
      <c r="AV182" s="98">
        <v>72.9217601430465</v>
      </c>
      <c r="AW182" s="98">
        <v>0.08435897435897435</v>
      </c>
      <c r="AX182" s="81"/>
      <c r="AY182" s="98">
        <v>72.9217601430465</v>
      </c>
      <c r="AZ182" s="98">
        <v>0.13988571428571428</v>
      </c>
      <c r="BA182" s="81"/>
      <c r="BB182" s="98">
        <v>72.9217601430465</v>
      </c>
      <c r="BC182" s="98">
        <v>0.05128205128205128</v>
      </c>
    </row>
    <row r="183" spans="29:55" ht="12">
      <c r="AC183" s="5"/>
      <c r="AD183" s="5"/>
      <c r="AH183" s="98">
        <v>75.857757502918</v>
      </c>
      <c r="AI183" s="98">
        <v>0.18857142857142856</v>
      </c>
      <c r="AJ183" s="98">
        <v>25.11886431509554</v>
      </c>
      <c r="AK183" s="98">
        <v>0.05578347578347578</v>
      </c>
      <c r="AL183" s="81"/>
      <c r="AM183" s="98">
        <v>75.857757502918</v>
      </c>
      <c r="AN183" s="98">
        <v>0.1638</v>
      </c>
      <c r="AO183" s="81"/>
      <c r="AP183" s="98">
        <v>75.857757502918</v>
      </c>
      <c r="AQ183" s="98">
        <v>0.07840455840455841</v>
      </c>
      <c r="AR183" s="81"/>
      <c r="AS183" s="98">
        <v>75.857757502918</v>
      </c>
      <c r="AT183" s="98">
        <v>0.15851428571428572</v>
      </c>
      <c r="AU183" s="81"/>
      <c r="AV183" s="98">
        <v>75.857757502918</v>
      </c>
      <c r="AW183" s="98">
        <v>0.08703703703703702</v>
      </c>
      <c r="AX183" s="81"/>
      <c r="AY183" s="98">
        <v>75.857757502918</v>
      </c>
      <c r="AZ183" s="98">
        <v>0.14091428571428571</v>
      </c>
      <c r="BA183" s="81"/>
      <c r="BB183" s="98">
        <v>75.857757502918</v>
      </c>
      <c r="BC183" s="98">
        <v>0.05264957264957265</v>
      </c>
    </row>
    <row r="184" spans="29:55" ht="12">
      <c r="AC184" s="5"/>
      <c r="AD184" s="5"/>
      <c r="AH184" s="98">
        <v>78.91196485223934</v>
      </c>
      <c r="AI184" s="98">
        <v>0.192</v>
      </c>
      <c r="AJ184" s="98">
        <v>25.958865861263668</v>
      </c>
      <c r="AK184" s="98">
        <v>0.05831908831908832</v>
      </c>
      <c r="AL184" s="81"/>
      <c r="AM184" s="98">
        <v>78.91196485223934</v>
      </c>
      <c r="AN184" s="98">
        <v>0.1664</v>
      </c>
      <c r="AO184" s="81"/>
      <c r="AP184" s="98">
        <v>78.91196485223934</v>
      </c>
      <c r="AQ184" s="98">
        <v>0.08022792022792023</v>
      </c>
      <c r="AR184" s="81"/>
      <c r="AS184" s="98">
        <v>78.91196485223934</v>
      </c>
      <c r="AT184" s="98">
        <v>0.1606</v>
      </c>
      <c r="AU184" s="81"/>
      <c r="AV184" s="98">
        <v>78.91196485223934</v>
      </c>
      <c r="AW184" s="98">
        <v>0.08971509971509971</v>
      </c>
      <c r="AX184" s="81"/>
      <c r="AY184" s="98">
        <v>78.91196485223934</v>
      </c>
      <c r="AZ184" s="98">
        <v>0.14297142857142858</v>
      </c>
      <c r="BA184" s="81"/>
      <c r="BB184" s="98">
        <v>78.91196485223934</v>
      </c>
      <c r="BC184" s="98">
        <v>0.055384615384615386</v>
      </c>
    </row>
    <row r="185" spans="29:55" ht="12">
      <c r="AC185" s="5"/>
      <c r="AD185" s="5"/>
      <c r="AH185" s="98">
        <v>82.08914159638215</v>
      </c>
      <c r="AI185" s="98">
        <v>0.19542857142857142</v>
      </c>
      <c r="AJ185" s="98">
        <v>26.82695795279697</v>
      </c>
      <c r="AK185" s="98">
        <v>0.05831908831908832</v>
      </c>
      <c r="AL185" s="81"/>
      <c r="AM185" s="98">
        <v>82.08914159638215</v>
      </c>
      <c r="AN185" s="98">
        <v>0.16899999999999998</v>
      </c>
      <c r="AO185" s="81"/>
      <c r="AP185" s="98">
        <v>82.08914159638215</v>
      </c>
      <c r="AQ185" s="98">
        <v>0.08387464387464388</v>
      </c>
      <c r="AR185" s="81"/>
      <c r="AS185" s="98">
        <v>82.08914159638215</v>
      </c>
      <c r="AT185" s="98">
        <v>0.1626857142857143</v>
      </c>
      <c r="AU185" s="81"/>
      <c r="AV185" s="98">
        <v>82.08914159638215</v>
      </c>
      <c r="AW185" s="98">
        <v>0.09239316239316238</v>
      </c>
      <c r="AX185" s="81"/>
      <c r="AY185" s="98">
        <v>82.08914159638215</v>
      </c>
      <c r="AZ185" s="98">
        <v>0.14502857142857142</v>
      </c>
      <c r="BA185" s="81"/>
      <c r="BB185" s="98">
        <v>82.08914159638215</v>
      </c>
      <c r="BC185" s="98">
        <v>0.05811965811965812</v>
      </c>
    </row>
    <row r="186" spans="29:55" ht="12">
      <c r="AC186" s="5"/>
      <c r="AD186" s="5"/>
      <c r="AH186" s="98">
        <v>85.39423876529736</v>
      </c>
      <c r="AI186" s="98">
        <v>0.19885714285714284</v>
      </c>
      <c r="AJ186" s="98">
        <v>27.724079967417445</v>
      </c>
      <c r="AK186" s="98">
        <v>0.060854700854700856</v>
      </c>
      <c r="AL186" s="81"/>
      <c r="AM186" s="98">
        <v>85.39423876529736</v>
      </c>
      <c r="AN186" s="98">
        <v>0.1716</v>
      </c>
      <c r="AO186" s="81"/>
      <c r="AP186" s="98">
        <v>85.39423876529736</v>
      </c>
      <c r="AQ186" s="98">
        <v>0.08752136752136752</v>
      </c>
      <c r="AR186" s="81"/>
      <c r="AS186" s="98">
        <v>85.39423876529736</v>
      </c>
      <c r="AT186" s="98">
        <v>0.16477142857142857</v>
      </c>
      <c r="AU186" s="81"/>
      <c r="AV186" s="98">
        <v>85.39423876529736</v>
      </c>
      <c r="AW186" s="98">
        <v>0.0964102564102564</v>
      </c>
      <c r="AX186" s="81"/>
      <c r="AY186" s="98">
        <v>85.39423876529736</v>
      </c>
      <c r="AZ186" s="98">
        <v>0.14605714285714286</v>
      </c>
      <c r="BA186" s="81"/>
      <c r="BB186" s="98">
        <v>85.39423876529736</v>
      </c>
      <c r="BC186" s="98">
        <v>0.0588034188034188</v>
      </c>
    </row>
    <row r="187" spans="29:55" ht="12">
      <c r="AC187" s="5"/>
      <c r="AD187" s="5"/>
      <c r="AH187" s="98">
        <v>88.83240672876028</v>
      </c>
      <c r="AI187" s="98">
        <v>0.20228571428571426</v>
      </c>
      <c r="AJ187" s="98">
        <v>28.651202696637498</v>
      </c>
      <c r="AK187" s="98">
        <v>0.0633903133903134</v>
      </c>
      <c r="AL187" s="81"/>
      <c r="AM187" s="98">
        <v>88.83240672876028</v>
      </c>
      <c r="AN187" s="98">
        <v>0.1742</v>
      </c>
      <c r="AO187" s="81"/>
      <c r="AP187" s="98">
        <v>88.83240672876028</v>
      </c>
      <c r="AQ187" s="98">
        <v>0.092991452991453</v>
      </c>
      <c r="AR187" s="81"/>
      <c r="AS187" s="98">
        <v>88.83240672876028</v>
      </c>
      <c r="AT187" s="98">
        <v>0.16685714285714287</v>
      </c>
      <c r="AU187" s="81"/>
      <c r="AV187" s="98">
        <v>88.83240672876028</v>
      </c>
      <c r="AW187" s="98">
        <v>0.10176638176638175</v>
      </c>
      <c r="AX187" s="81"/>
      <c r="AY187" s="98">
        <v>88.83240672876028</v>
      </c>
      <c r="AZ187" s="98">
        <v>0.14811428571428573</v>
      </c>
      <c r="BA187" s="81"/>
      <c r="BB187" s="98">
        <v>88.83240672876028</v>
      </c>
      <c r="BC187" s="98">
        <v>0.06153846153846154</v>
      </c>
    </row>
    <row r="188" spans="29:55" ht="12">
      <c r="AC188" s="5"/>
      <c r="AD188" s="5"/>
      <c r="AH188" s="98">
        <v>92.40900322224935</v>
      </c>
      <c r="AI188" s="98">
        <v>0.2057142857142857</v>
      </c>
      <c r="AJ188" s="98">
        <v>29.60932939627051</v>
      </c>
      <c r="AK188" s="98">
        <v>0.06592592592592593</v>
      </c>
      <c r="AL188" s="81"/>
      <c r="AM188" s="98">
        <v>92.40900322224935</v>
      </c>
      <c r="AN188" s="98">
        <v>0.17679999999999998</v>
      </c>
      <c r="AO188" s="81"/>
      <c r="AP188" s="98">
        <v>92.40900322224935</v>
      </c>
      <c r="AQ188" s="98">
        <v>0.09846153846153848</v>
      </c>
      <c r="AR188" s="81"/>
      <c r="AS188" s="98">
        <v>92.40900322224935</v>
      </c>
      <c r="AT188" s="98">
        <v>0.16894285714285714</v>
      </c>
      <c r="AU188" s="81"/>
      <c r="AV188" s="98">
        <v>92.40900322224935</v>
      </c>
      <c r="AW188" s="98">
        <v>0.10578347578347577</v>
      </c>
      <c r="AX188" s="81"/>
      <c r="AY188" s="98">
        <v>92.40900322224935</v>
      </c>
      <c r="AZ188" s="98">
        <v>0.15017142857142857</v>
      </c>
      <c r="BA188" s="81"/>
      <c r="BB188" s="98">
        <v>92.40900322224935</v>
      </c>
      <c r="BC188" s="98">
        <v>0.06427350427350427</v>
      </c>
    </row>
    <row r="189" spans="29:55" ht="12">
      <c r="AC189" s="5"/>
      <c r="AD189" s="5"/>
      <c r="AH189" s="98">
        <v>96.12960169596505</v>
      </c>
      <c r="AI189" s="98">
        <v>0.20914285714285713</v>
      </c>
      <c r="AJ189" s="98">
        <v>30.599496872071615</v>
      </c>
      <c r="AK189" s="98">
        <v>0.06846153846153846</v>
      </c>
      <c r="AL189" s="81"/>
      <c r="AM189" s="98">
        <v>96.12960169596505</v>
      </c>
      <c r="AN189" s="98">
        <v>0.1794</v>
      </c>
      <c r="AO189" s="81"/>
      <c r="AP189" s="98">
        <v>96.12960169596505</v>
      </c>
      <c r="AQ189" s="98">
        <v>0.10210826210826211</v>
      </c>
      <c r="AR189" s="81"/>
      <c r="AS189" s="98">
        <v>96.12960169596505</v>
      </c>
      <c r="AT189" s="98">
        <v>0.17102857142857145</v>
      </c>
      <c r="AU189" s="81"/>
      <c r="AV189" s="98">
        <v>96.12960169596505</v>
      </c>
      <c r="AW189" s="98">
        <v>0.10846153846153846</v>
      </c>
      <c r="AX189" s="81"/>
      <c r="AY189" s="98">
        <v>96.12960169596505</v>
      </c>
      <c r="AZ189" s="98">
        <v>0.1512</v>
      </c>
      <c r="BA189" s="81"/>
      <c r="BB189" s="98">
        <v>96.12960169596505</v>
      </c>
      <c r="BC189" s="98">
        <v>0.06632478632478632</v>
      </c>
    </row>
    <row r="190" spans="29:55" ht="12">
      <c r="AC190" s="5"/>
      <c r="AD190" s="5"/>
      <c r="AH190" s="98">
        <v>99.99999999999949</v>
      </c>
      <c r="AI190" s="98">
        <v>0.20914285714285713</v>
      </c>
      <c r="AJ190" s="98">
        <v>31.622776601683437</v>
      </c>
      <c r="AK190" s="98">
        <v>0.070997150997151</v>
      </c>
      <c r="AL190" s="81"/>
      <c r="AM190" s="98">
        <v>99.99999999999949</v>
      </c>
      <c r="AN190" s="98">
        <v>0.182</v>
      </c>
      <c r="AO190" s="81"/>
      <c r="AP190" s="98">
        <v>99.99999999999949</v>
      </c>
      <c r="AQ190" s="98">
        <v>0.10575498575498576</v>
      </c>
      <c r="AR190" s="81"/>
      <c r="AS190" s="98">
        <v>99.99999999999949</v>
      </c>
      <c r="AT190" s="98">
        <v>0.17311428571428572</v>
      </c>
      <c r="AU190" s="81"/>
      <c r="AV190" s="98">
        <v>99.99999999999949</v>
      </c>
      <c r="AW190" s="98">
        <v>0.11247863247863246</v>
      </c>
      <c r="AX190" s="81"/>
      <c r="AY190" s="98">
        <v>99.99999999999949</v>
      </c>
      <c r="AZ190" s="98">
        <v>0.15222857142857144</v>
      </c>
      <c r="BA190" s="81"/>
      <c r="BB190" s="98">
        <v>99.99999999999949</v>
      </c>
      <c r="BC190" s="98">
        <v>0.06700854700854701</v>
      </c>
    </row>
    <row r="191" spans="29:55" ht="12">
      <c r="AC191" s="5"/>
      <c r="AD191" s="5"/>
      <c r="AH191" s="98">
        <v>104.02622941919088</v>
      </c>
      <c r="AI191" s="98">
        <v>0.20914285714285713</v>
      </c>
      <c r="AJ191" s="98">
        <v>32.68027589410089</v>
      </c>
      <c r="AK191" s="98">
        <v>0.07353276353276353</v>
      </c>
      <c r="AL191" s="81"/>
      <c r="AM191" s="98">
        <v>104.02622941919088</v>
      </c>
      <c r="AN191" s="98">
        <v>0.182</v>
      </c>
      <c r="AO191" s="81"/>
      <c r="AP191" s="98">
        <v>104.02622941919088</v>
      </c>
      <c r="AQ191" s="98">
        <v>0.11122507122507123</v>
      </c>
      <c r="AR191" s="81"/>
      <c r="AS191" s="98">
        <v>104.02622941919088</v>
      </c>
      <c r="AT191" s="98">
        <v>0.17311428571428572</v>
      </c>
      <c r="AU191" s="81"/>
      <c r="AV191" s="98">
        <v>104.02622941919088</v>
      </c>
      <c r="AW191" s="98">
        <v>0.11783475783475782</v>
      </c>
      <c r="AX191" s="81"/>
      <c r="AY191" s="98">
        <v>104.02622941919088</v>
      </c>
      <c r="AZ191" s="98">
        <v>0.15222857142857144</v>
      </c>
      <c r="BA191" s="81"/>
      <c r="BB191" s="98">
        <v>104.02622941919088</v>
      </c>
      <c r="BC191" s="98">
        <v>0.06769230769230769</v>
      </c>
    </row>
    <row r="192" spans="29:55" ht="12">
      <c r="AC192" s="5"/>
      <c r="AD192" s="5"/>
      <c r="AH192" s="98">
        <v>108.21456407174192</v>
      </c>
      <c r="AI192" s="98">
        <v>0.21257142857142855</v>
      </c>
      <c r="AJ192" s="98">
        <v>33.77313908790971</v>
      </c>
      <c r="AK192" s="98">
        <v>0.07606837606837608</v>
      </c>
      <c r="AL192" s="81"/>
      <c r="AM192" s="98">
        <v>108.21456407174192</v>
      </c>
      <c r="AN192" s="98">
        <v>0.182</v>
      </c>
      <c r="AO192" s="81"/>
      <c r="AP192" s="98">
        <v>108.21456407174192</v>
      </c>
      <c r="AQ192" s="98">
        <v>0.11851851851851852</v>
      </c>
      <c r="AR192" s="81"/>
      <c r="AS192" s="98">
        <v>108.21456407174192</v>
      </c>
      <c r="AT192" s="98">
        <v>0.1752</v>
      </c>
      <c r="AU192" s="81"/>
      <c r="AV192" s="98">
        <v>108.21456407174192</v>
      </c>
      <c r="AW192" s="98">
        <v>0.12319088319088317</v>
      </c>
      <c r="AX192" s="81"/>
      <c r="AY192" s="98">
        <v>108.21456407174192</v>
      </c>
      <c r="AZ192" s="98">
        <v>0.15325714285714287</v>
      </c>
      <c r="BA192" s="81"/>
      <c r="BB192" s="98">
        <v>108.21456407174192</v>
      </c>
      <c r="BC192" s="98">
        <v>0.06974358974358974</v>
      </c>
    </row>
    <row r="193" spans="29:55" ht="12">
      <c r="AC193" s="5"/>
      <c r="AD193" s="5"/>
      <c r="AH193" s="98">
        <v>112.57153068624814</v>
      </c>
      <c r="AI193" s="98">
        <v>0.216</v>
      </c>
      <c r="AJ193" s="98">
        <v>34.9025487895954</v>
      </c>
      <c r="AK193" s="98">
        <v>0.07860398860398861</v>
      </c>
      <c r="AL193" s="81"/>
      <c r="AM193" s="98">
        <v>112.57153068624814</v>
      </c>
      <c r="AN193" s="98">
        <v>0.1846</v>
      </c>
      <c r="AO193" s="81"/>
      <c r="AP193" s="98">
        <v>112.57153068624814</v>
      </c>
      <c r="AQ193" s="98">
        <v>0.123988603988604</v>
      </c>
      <c r="AR193" s="81"/>
      <c r="AS193" s="98">
        <v>112.57153068624814</v>
      </c>
      <c r="AT193" s="98">
        <v>0.1772857142857143</v>
      </c>
      <c r="AU193" s="81"/>
      <c r="AV193" s="98">
        <v>112.57153068624814</v>
      </c>
      <c r="AW193" s="98">
        <v>0.12854700854700854</v>
      </c>
      <c r="AX193" s="81"/>
      <c r="AY193" s="98">
        <v>112.57153068624814</v>
      </c>
      <c r="AZ193" s="98">
        <v>0.1553142857142857</v>
      </c>
      <c r="BA193" s="81"/>
      <c r="BB193" s="98">
        <v>112.57153068624814</v>
      </c>
      <c r="BC193" s="98">
        <v>0.07247863247863248</v>
      </c>
    </row>
    <row r="194" spans="29:55" ht="12">
      <c r="AC194" s="5"/>
      <c r="AD194" s="5"/>
      <c r="AH194" s="98">
        <v>117.10391877237197</v>
      </c>
      <c r="AI194" s="98">
        <v>0.21942857142857142</v>
      </c>
      <c r="AJ194" s="98">
        <v>36.069727153262484</v>
      </c>
      <c r="AK194" s="98">
        <v>0.08367521367521367</v>
      </c>
      <c r="AL194" s="81"/>
      <c r="AM194" s="98">
        <v>117.10391877237197</v>
      </c>
      <c r="AN194" s="98">
        <v>0.18719999999999998</v>
      </c>
      <c r="AO194" s="81"/>
      <c r="AP194" s="98">
        <v>117.10391877237197</v>
      </c>
      <c r="AQ194" s="98">
        <v>0.12945868945868946</v>
      </c>
      <c r="AR194" s="81"/>
      <c r="AS194" s="98">
        <v>117.10391877237197</v>
      </c>
      <c r="AT194" s="98">
        <v>0.17937142857142857</v>
      </c>
      <c r="AU194" s="81"/>
      <c r="AV194" s="98">
        <v>117.10391877237197</v>
      </c>
      <c r="AW194" s="98">
        <v>0.13390313390313388</v>
      </c>
      <c r="AX194" s="81"/>
      <c r="AY194" s="98">
        <v>117.10391877237197</v>
      </c>
      <c r="AZ194" s="98">
        <v>0.15737142857142858</v>
      </c>
      <c r="BA194" s="81"/>
      <c r="BB194" s="98">
        <v>117.10391877237197</v>
      </c>
      <c r="BC194" s="98">
        <v>0.0758974358974359</v>
      </c>
    </row>
    <row r="195" spans="29:55" ht="12">
      <c r="AC195" s="5"/>
      <c r="AD195" s="5"/>
      <c r="AH195" s="98">
        <v>121.81879120101122</v>
      </c>
      <c r="AI195" s="98">
        <v>0.22285714285714284</v>
      </c>
      <c r="AJ195" s="98">
        <v>37.27593720314896</v>
      </c>
      <c r="AK195" s="98">
        <v>0.08621082621082621</v>
      </c>
      <c r="AL195" s="81"/>
      <c r="AM195" s="98">
        <v>121.81879120101122</v>
      </c>
      <c r="AN195" s="98">
        <v>0.1924</v>
      </c>
      <c r="AO195" s="81"/>
      <c r="AP195" s="98">
        <v>121.81879120101122</v>
      </c>
      <c r="AQ195" s="98">
        <v>0.13492877492877495</v>
      </c>
      <c r="AR195" s="81"/>
      <c r="AS195" s="98">
        <v>121.81879120101122</v>
      </c>
      <c r="AT195" s="98">
        <v>0.18354285714285715</v>
      </c>
      <c r="AU195" s="81"/>
      <c r="AV195" s="98">
        <v>121.81879120101122</v>
      </c>
      <c r="AW195" s="98">
        <v>0.13925925925925925</v>
      </c>
      <c r="AX195" s="81"/>
      <c r="AY195" s="98">
        <v>121.81879120101122</v>
      </c>
      <c r="AZ195" s="98">
        <v>0.15942857142857145</v>
      </c>
      <c r="BA195" s="81"/>
      <c r="BB195" s="98">
        <v>121.81879120101122</v>
      </c>
      <c r="BC195" s="98">
        <v>0.07863247863247863</v>
      </c>
    </row>
    <row r="196" spans="29:55" ht="12">
      <c r="AC196" s="5"/>
      <c r="AD196" s="5"/>
      <c r="AH196" s="98">
        <v>126.72349521044971</v>
      </c>
      <c r="AI196" s="98">
        <v>0.22628571428571428</v>
      </c>
      <c r="AJ196" s="98">
        <v>38.52248420036706</v>
      </c>
      <c r="AK196" s="98">
        <v>0.08621082621082621</v>
      </c>
      <c r="AL196" s="81"/>
      <c r="AM196" s="98">
        <v>126.72349521044971</v>
      </c>
      <c r="AN196" s="98">
        <v>0.19499999999999998</v>
      </c>
      <c r="AO196" s="81"/>
      <c r="AP196" s="98">
        <v>126.72349521044971</v>
      </c>
      <c r="AQ196" s="98">
        <v>0.1403988603988604</v>
      </c>
      <c r="AR196" s="81"/>
      <c r="AS196" s="98">
        <v>126.72349521044971</v>
      </c>
      <c r="AT196" s="98">
        <v>0.18562857142857145</v>
      </c>
      <c r="AU196" s="81"/>
      <c r="AV196" s="98">
        <v>126.72349521044971</v>
      </c>
      <c r="AW196" s="98">
        <v>0.1446153846153846</v>
      </c>
      <c r="AX196" s="81"/>
      <c r="AY196" s="98">
        <v>126.72349521044971</v>
      </c>
      <c r="AZ196" s="98">
        <v>0.16045714285714285</v>
      </c>
      <c r="BA196" s="81"/>
      <c r="BB196" s="98">
        <v>126.72349521044971</v>
      </c>
      <c r="BC196" s="98">
        <v>0.08136752136752137</v>
      </c>
    </row>
    <row r="197" spans="29:55" ht="12">
      <c r="AC197" s="5"/>
      <c r="AD197" s="5"/>
      <c r="AH197" s="98">
        <v>131.82567385564047</v>
      </c>
      <c r="AI197" s="98">
        <v>0.2297142857142857</v>
      </c>
      <c r="AJ197" s="98">
        <v>39.810717055349244</v>
      </c>
      <c r="AK197" s="98">
        <v>0.09128205128205129</v>
      </c>
      <c r="AL197" s="81"/>
      <c r="AM197" s="98">
        <v>131.82567385564047</v>
      </c>
      <c r="AN197" s="98">
        <v>0.1976</v>
      </c>
      <c r="AO197" s="81"/>
      <c r="AP197" s="98">
        <v>131.82567385564047</v>
      </c>
      <c r="AQ197" s="98">
        <v>0.1476923076923077</v>
      </c>
      <c r="AR197" s="81"/>
      <c r="AS197" s="98">
        <v>137.1332779184636</v>
      </c>
      <c r="AT197" s="98">
        <v>0.1898</v>
      </c>
      <c r="AU197" s="81"/>
      <c r="AV197" s="98">
        <v>131.82567385564047</v>
      </c>
      <c r="AW197" s="98">
        <v>0.14997150997150996</v>
      </c>
      <c r="AX197" s="81"/>
      <c r="AY197" s="98">
        <v>131.82567385564047</v>
      </c>
      <c r="AZ197" s="98">
        <v>0.16251428571428572</v>
      </c>
      <c r="BA197" s="81"/>
      <c r="BB197" s="98">
        <v>131.82567385564047</v>
      </c>
      <c r="BC197" s="98">
        <v>0.0841025641025641</v>
      </c>
    </row>
    <row r="198" spans="29:55" ht="12">
      <c r="AC198" s="5"/>
      <c r="AD198" s="5"/>
      <c r="AH198" s="98">
        <v>137.1332779184636</v>
      </c>
      <c r="AI198" s="98">
        <v>0.23314285714285712</v>
      </c>
      <c r="AJ198" s="98">
        <v>41.14202978752792</v>
      </c>
      <c r="AK198" s="98">
        <v>0.09381766381766382</v>
      </c>
      <c r="AL198" s="81"/>
      <c r="AM198" s="98">
        <v>137.1332779184636</v>
      </c>
      <c r="AN198" s="98">
        <v>0.2002</v>
      </c>
      <c r="AO198" s="81"/>
      <c r="AP198" s="98">
        <v>137.1332779184636</v>
      </c>
      <c r="AQ198" s="98">
        <v>0.15316239316239316</v>
      </c>
      <c r="AR198" s="81"/>
      <c r="AS198" s="98">
        <v>142.65457829751833</v>
      </c>
      <c r="AT198" s="98">
        <v>0.1918857142857143</v>
      </c>
      <c r="AU198" s="81"/>
      <c r="AV198" s="98">
        <v>137.1332779184636</v>
      </c>
      <c r="AW198" s="98">
        <v>0.1553276353276353</v>
      </c>
      <c r="AX198" s="81"/>
      <c r="AY198" s="98">
        <v>137.1332779184636</v>
      </c>
      <c r="AZ198" s="98">
        <v>0.16354285714285716</v>
      </c>
      <c r="BA198" s="81"/>
      <c r="BB198" s="98">
        <v>137.1332779184636</v>
      </c>
      <c r="BC198" s="98">
        <v>0.08752136752136752</v>
      </c>
    </row>
    <row r="199" spans="29:55" ht="12">
      <c r="AC199" s="5"/>
      <c r="AD199" s="5"/>
      <c r="AH199" s="98">
        <v>142.65457829751833</v>
      </c>
      <c r="AI199" s="98">
        <v>0.23314285714285712</v>
      </c>
      <c r="AJ199" s="98">
        <v>42.51786303382838</v>
      </c>
      <c r="AK199" s="98">
        <v>0.09635327635327635</v>
      </c>
      <c r="AL199" s="81"/>
      <c r="AM199" s="98">
        <v>142.65457829751833</v>
      </c>
      <c r="AN199" s="98">
        <v>0.20279999999999998</v>
      </c>
      <c r="AO199" s="81"/>
      <c r="AP199" s="98">
        <v>142.65457829751833</v>
      </c>
      <c r="AQ199" s="98">
        <v>0.15863247863247865</v>
      </c>
      <c r="AR199" s="81"/>
      <c r="AS199" s="98">
        <v>148.39817889675646</v>
      </c>
      <c r="AT199" s="98">
        <v>0.19397142857142857</v>
      </c>
      <c r="AU199" s="81"/>
      <c r="AV199" s="98">
        <v>142.65457829751833</v>
      </c>
      <c r="AW199" s="98">
        <v>0.16068376068376067</v>
      </c>
      <c r="AX199" s="81"/>
      <c r="AY199" s="98">
        <v>142.65457829751833</v>
      </c>
      <c r="AZ199" s="98">
        <v>0.1656</v>
      </c>
      <c r="BA199" s="81"/>
      <c r="BB199" s="98">
        <v>142.65457829751833</v>
      </c>
      <c r="BC199" s="98">
        <v>0.09025641025641026</v>
      </c>
    </row>
    <row r="200" spans="29:55" ht="12">
      <c r="AC200" s="5"/>
      <c r="AD200" s="5"/>
      <c r="AH200" s="98">
        <v>148.39817889675646</v>
      </c>
      <c r="AI200" s="98">
        <v>0.23657142857142857</v>
      </c>
      <c r="AJ200" s="98">
        <v>43.939705607607365</v>
      </c>
      <c r="AK200" s="98">
        <v>0.10142450142450143</v>
      </c>
      <c r="AL200" s="81"/>
      <c r="AM200" s="98">
        <v>154.373030033042</v>
      </c>
      <c r="AN200" s="98">
        <v>0.208</v>
      </c>
      <c r="AO200" s="81"/>
      <c r="AP200" s="98">
        <v>148.39817889675646</v>
      </c>
      <c r="AQ200" s="98">
        <v>0.1641025641025641</v>
      </c>
      <c r="AR200" s="81"/>
      <c r="AS200" s="98">
        <v>154.373030033042</v>
      </c>
      <c r="AT200" s="98">
        <v>0.19605714285714287</v>
      </c>
      <c r="AU200" s="81"/>
      <c r="AV200" s="98">
        <v>148.39817889675646</v>
      </c>
      <c r="AW200" s="98">
        <v>0.1647008547008547</v>
      </c>
      <c r="AX200" s="81"/>
      <c r="AY200" s="98">
        <v>148.39817889675646</v>
      </c>
      <c r="AZ200" s="98">
        <v>0.16662857142857143</v>
      </c>
      <c r="BA200" s="81"/>
      <c r="BB200" s="98">
        <v>148.39817889675646</v>
      </c>
      <c r="BC200" s="98">
        <v>0.09299145299145299</v>
      </c>
    </row>
    <row r="201" spans="29:55" ht="12">
      <c r="AC201" s="5"/>
      <c r="AD201" s="5"/>
      <c r="AH201" s="98">
        <v>154.373030033042</v>
      </c>
      <c r="AI201" s="98">
        <v>0.24</v>
      </c>
      <c r="AJ201" s="98">
        <v>45.40909610972419</v>
      </c>
      <c r="AK201" s="98">
        <v>0.1064957264957265</v>
      </c>
      <c r="AL201" s="81"/>
      <c r="AM201" s="98">
        <v>160.58844238352953</v>
      </c>
      <c r="AN201" s="98">
        <v>0.2132</v>
      </c>
      <c r="AO201" s="81"/>
      <c r="AP201" s="98">
        <v>154.373030033042</v>
      </c>
      <c r="AQ201" s="98">
        <v>0.1695726495726496</v>
      </c>
      <c r="AR201" s="81"/>
      <c r="AS201" s="98">
        <v>160.58844238352953</v>
      </c>
      <c r="AT201" s="98">
        <v>0.20022857142857142</v>
      </c>
      <c r="AU201" s="81"/>
      <c r="AV201" s="98">
        <v>154.373030033042</v>
      </c>
      <c r="AW201" s="98">
        <v>0.17005698005698003</v>
      </c>
      <c r="AX201" s="81"/>
      <c r="AY201" s="98">
        <v>154.373030033042</v>
      </c>
      <c r="AZ201" s="98">
        <v>0.16765714285714287</v>
      </c>
      <c r="BA201" s="81"/>
      <c r="BB201" s="98">
        <v>154.373030033042</v>
      </c>
      <c r="BC201" s="98">
        <v>0.09572649572649572</v>
      </c>
    </row>
    <row r="202" spans="29:55" ht="12">
      <c r="AC202" s="5"/>
      <c r="AD202" s="5"/>
      <c r="AH202" s="98">
        <v>160.58844238352953</v>
      </c>
      <c r="AI202" s="98">
        <v>0.24685714285714283</v>
      </c>
      <c r="AJ202" s="98">
        <v>46.927624593487785</v>
      </c>
      <c r="AK202" s="98">
        <v>0.10903133903133903</v>
      </c>
      <c r="AL202" s="81"/>
      <c r="AM202" s="98">
        <v>167.05410149459647</v>
      </c>
      <c r="AN202" s="98">
        <v>0.2158</v>
      </c>
      <c r="AO202" s="81"/>
      <c r="AP202" s="98">
        <v>160.58844238352953</v>
      </c>
      <c r="AQ202" s="98">
        <v>0.18051282051282053</v>
      </c>
      <c r="AR202" s="81"/>
      <c r="AS202" s="98">
        <v>167.05410149459647</v>
      </c>
      <c r="AT202" s="98">
        <v>0.20231428571428572</v>
      </c>
      <c r="AU202" s="81"/>
      <c r="AV202" s="98">
        <v>160.58844238352953</v>
      </c>
      <c r="AW202" s="98">
        <v>0.18076923076923074</v>
      </c>
      <c r="AX202" s="81"/>
      <c r="AY202" s="98">
        <v>160.58844238352953</v>
      </c>
      <c r="AZ202" s="98">
        <v>0.1697142857142857</v>
      </c>
      <c r="BA202" s="81"/>
      <c r="BB202" s="98">
        <v>160.58844238352953</v>
      </c>
      <c r="BC202" s="98">
        <v>0.09982905982905983</v>
      </c>
    </row>
    <row r="203" spans="29:55" ht="12">
      <c r="AC203" s="5"/>
      <c r="AD203" s="5"/>
      <c r="AH203" s="98">
        <v>167.05410149459647</v>
      </c>
      <c r="AI203" s="98">
        <v>0.2502857142857143</v>
      </c>
      <c r="AJ203" s="98">
        <v>48.49693428528136</v>
      </c>
      <c r="AK203" s="98">
        <v>0.11156695156695157</v>
      </c>
      <c r="AL203" s="81"/>
      <c r="AM203" s="98">
        <v>173.78008287493782</v>
      </c>
      <c r="AN203" s="98">
        <v>0.21839999999999998</v>
      </c>
      <c r="AO203" s="81"/>
      <c r="AP203" s="98">
        <v>167.05410149459647</v>
      </c>
      <c r="AQ203" s="98">
        <v>0.185982905982906</v>
      </c>
      <c r="AR203" s="81"/>
      <c r="AS203" s="98">
        <v>173.78008287493782</v>
      </c>
      <c r="AT203" s="98">
        <v>0.2044</v>
      </c>
      <c r="AU203" s="81"/>
      <c r="AV203" s="98">
        <v>167.05410149459647</v>
      </c>
      <c r="AW203" s="98">
        <v>0.18478632478632476</v>
      </c>
      <c r="AX203" s="81"/>
      <c r="AY203" s="98">
        <v>167.05410149459647</v>
      </c>
      <c r="AZ203" s="98">
        <v>0.17177142857142857</v>
      </c>
      <c r="BA203" s="81"/>
      <c r="BB203" s="98">
        <v>167.05410149459647</v>
      </c>
      <c r="BC203" s="98">
        <v>0.10324786324786325</v>
      </c>
    </row>
    <row r="204" spans="29:55" ht="12">
      <c r="AC204" s="5"/>
      <c r="AD204" s="5"/>
      <c r="AH204" s="98">
        <v>173.78008287493782</v>
      </c>
      <c r="AI204" s="98">
        <v>0.2537142857142857</v>
      </c>
      <c r="AJ204" s="98">
        <v>50.118723362726584</v>
      </c>
      <c r="AK204" s="98">
        <v>0.1141025641025641</v>
      </c>
      <c r="AL204" s="81"/>
      <c r="AM204" s="98">
        <v>180.7768676963438</v>
      </c>
      <c r="AN204" s="98">
        <v>0.221</v>
      </c>
      <c r="AO204" s="81"/>
      <c r="AP204" s="98">
        <v>173.78008287493782</v>
      </c>
      <c r="AQ204" s="98">
        <v>0.19327635327635329</v>
      </c>
      <c r="AR204" s="81"/>
      <c r="AS204" s="98">
        <v>180.7768676963438</v>
      </c>
      <c r="AT204" s="98">
        <v>0.20857142857142857</v>
      </c>
      <c r="AU204" s="81"/>
      <c r="AV204" s="98">
        <v>173.78008287493782</v>
      </c>
      <c r="AW204" s="98">
        <v>0.19148148148148145</v>
      </c>
      <c r="AX204" s="81"/>
      <c r="AY204" s="98">
        <v>173.78008287493782</v>
      </c>
      <c r="AZ204" s="98">
        <v>0.1728</v>
      </c>
      <c r="BA204" s="81"/>
      <c r="BB204" s="98">
        <v>173.78008287493782</v>
      </c>
      <c r="BC204" s="98">
        <v>0.10598290598290598</v>
      </c>
    </row>
    <row r="205" spans="29:55" ht="12">
      <c r="AC205" s="5"/>
      <c r="AD205" s="5"/>
      <c r="AH205" s="98">
        <v>180.7768676963438</v>
      </c>
      <c r="AI205" s="98">
        <v>0.2571428571428571</v>
      </c>
      <c r="AJ205" s="98">
        <v>51.794746792311436</v>
      </c>
      <c r="AK205" s="98">
        <v>0.11917378917378918</v>
      </c>
      <c r="AL205" s="81"/>
      <c r="AM205" s="98">
        <v>188.05535912662674</v>
      </c>
      <c r="AN205" s="98">
        <v>0.22619999999999998</v>
      </c>
      <c r="AO205" s="81"/>
      <c r="AP205" s="98">
        <v>180.7768676963438</v>
      </c>
      <c r="AQ205" s="98">
        <v>0.19692307692307695</v>
      </c>
      <c r="AR205" s="81"/>
      <c r="AS205" s="98">
        <v>188.05535912662674</v>
      </c>
      <c r="AT205" s="98">
        <v>0.21274285714285715</v>
      </c>
      <c r="AU205" s="81"/>
      <c r="AV205" s="98">
        <v>180.7768676963438</v>
      </c>
      <c r="AW205" s="98">
        <v>0.19415954415954415</v>
      </c>
      <c r="AX205" s="81"/>
      <c r="AY205" s="98">
        <v>180.7768676963438</v>
      </c>
      <c r="AZ205" s="98">
        <v>0.17485714285714285</v>
      </c>
      <c r="BA205" s="81"/>
      <c r="BB205" s="98">
        <v>180.7768676963438</v>
      </c>
      <c r="BC205" s="98">
        <v>0.1094017094017094</v>
      </c>
    </row>
    <row r="206" spans="29:55" ht="12">
      <c r="AC206" s="5"/>
      <c r="AD206" s="5"/>
      <c r="AH206" s="98">
        <v>188.05535912662674</v>
      </c>
      <c r="AI206" s="98">
        <v>0.264</v>
      </c>
      <c r="AJ206" s="98">
        <v>53.52681822847035</v>
      </c>
      <c r="AK206" s="98">
        <v>0.12424501424501425</v>
      </c>
      <c r="AL206" s="81"/>
      <c r="AM206" s="98">
        <v>195.62689932014905</v>
      </c>
      <c r="AN206" s="98">
        <v>0.2314</v>
      </c>
      <c r="AO206" s="81"/>
      <c r="AP206" s="98">
        <v>188.05535912662674</v>
      </c>
      <c r="AQ206" s="98">
        <v>0.2005698005698006</v>
      </c>
      <c r="AR206" s="81"/>
      <c r="AS206" s="98">
        <v>195.62689932014905</v>
      </c>
      <c r="AT206" s="98">
        <v>0.21691428571428573</v>
      </c>
      <c r="AU206" s="81"/>
      <c r="AV206" s="98">
        <v>188.05535912662674</v>
      </c>
      <c r="AW206" s="98">
        <v>0.19683760683760682</v>
      </c>
      <c r="AX206" s="81"/>
      <c r="AY206" s="98">
        <v>188.05535912662674</v>
      </c>
      <c r="AZ206" s="98">
        <v>0.17794285714285715</v>
      </c>
      <c r="BA206" s="81"/>
      <c r="BB206" s="98">
        <v>188.05535912662674</v>
      </c>
      <c r="BC206" s="98">
        <v>0.11487179487179487</v>
      </c>
    </row>
    <row r="207" spans="29:55" ht="12">
      <c r="AC207" s="5"/>
      <c r="AD207" s="5"/>
      <c r="AH207" s="98">
        <v>195.62689932014905</v>
      </c>
      <c r="AI207" s="98">
        <v>0.2674285714285714</v>
      </c>
      <c r="AJ207" s="98">
        <v>55.316811976171536</v>
      </c>
      <c r="AK207" s="98">
        <v>0.1293162393162393</v>
      </c>
      <c r="AL207" s="81"/>
      <c r="AM207" s="98">
        <v>203.50328709242888</v>
      </c>
      <c r="AN207" s="98">
        <v>0.23399999999999999</v>
      </c>
      <c r="AO207" s="81"/>
      <c r="AP207" s="98">
        <v>195.62689932014905</v>
      </c>
      <c r="AQ207" s="98">
        <v>0.2023931623931624</v>
      </c>
      <c r="AR207" s="81"/>
      <c r="AS207" s="98">
        <v>203.50328709242888</v>
      </c>
      <c r="AT207" s="98">
        <v>0.219</v>
      </c>
      <c r="AU207" s="81"/>
      <c r="AV207" s="98">
        <v>195.62689932014905</v>
      </c>
      <c r="AW207" s="98">
        <v>0.19951566951566949</v>
      </c>
      <c r="AX207" s="81"/>
      <c r="AY207" s="98">
        <v>195.62689932014905</v>
      </c>
      <c r="AZ207" s="98">
        <v>0.18</v>
      </c>
      <c r="BA207" s="81"/>
      <c r="BB207" s="98">
        <v>195.62689932014905</v>
      </c>
      <c r="BC207" s="98">
        <v>0.11965811965811966</v>
      </c>
    </row>
    <row r="208" spans="29:55" ht="12">
      <c r="AC208" s="5"/>
      <c r="AD208" s="5"/>
      <c r="AH208" s="98">
        <v>203.50328709242888</v>
      </c>
      <c r="AI208" s="98">
        <v>0.27085714285714285</v>
      </c>
      <c r="AJ208" s="98">
        <v>57.166665019135394</v>
      </c>
      <c r="AK208" s="98">
        <v>0.13438746438746438</v>
      </c>
      <c r="AL208" s="81"/>
      <c r="AM208" s="98">
        <v>211.69679630636585</v>
      </c>
      <c r="AN208" s="98">
        <v>0.23399999999999999</v>
      </c>
      <c r="AO208" s="81"/>
      <c r="AP208" s="98">
        <v>203.50328709242888</v>
      </c>
      <c r="AQ208" s="98">
        <v>0.2078632478632479</v>
      </c>
      <c r="AR208" s="81"/>
      <c r="AS208" s="98">
        <v>211.69679630636585</v>
      </c>
      <c r="AT208" s="98">
        <v>0.2210857142857143</v>
      </c>
      <c r="AU208" s="81"/>
      <c r="AV208" s="98">
        <v>203.50328709242888</v>
      </c>
      <c r="AW208" s="98">
        <v>0.20219373219373218</v>
      </c>
      <c r="AX208" s="81"/>
      <c r="AY208" s="98">
        <v>203.50328709242888</v>
      </c>
      <c r="AZ208" s="98">
        <v>0.18102857142857143</v>
      </c>
      <c r="BA208" s="81"/>
      <c r="BB208" s="98">
        <v>203.50328709242888</v>
      </c>
      <c r="BC208" s="98">
        <v>0.12307692307692308</v>
      </c>
    </row>
    <row r="209" spans="29:55" ht="12">
      <c r="AC209" s="5"/>
      <c r="AD209" s="5"/>
      <c r="AH209" s="98">
        <v>211.69679630636585</v>
      </c>
      <c r="AI209" s="98">
        <v>0.27428571428571424</v>
      </c>
      <c r="AJ209" s="98">
        <v>59.07837911587865</v>
      </c>
      <c r="AK209" s="98">
        <v>0.13692307692307693</v>
      </c>
      <c r="AL209" s="81"/>
      <c r="AM209" s="98">
        <v>220.2201949987385</v>
      </c>
      <c r="AN209" s="98">
        <v>0.2392</v>
      </c>
      <c r="AO209" s="81"/>
      <c r="AP209" s="98">
        <v>211.69679630636585</v>
      </c>
      <c r="AQ209" s="98">
        <v>0.2096866096866097</v>
      </c>
      <c r="AR209" s="81"/>
      <c r="AS209" s="98">
        <v>220.2201949987385</v>
      </c>
      <c r="AT209" s="98">
        <v>0.22317142857142858</v>
      </c>
      <c r="AU209" s="81"/>
      <c r="AV209" s="98">
        <v>211.69679630636585</v>
      </c>
      <c r="AW209" s="98">
        <v>0.2035327635327635</v>
      </c>
      <c r="AX209" s="81"/>
      <c r="AY209" s="98">
        <v>211.69679630636585</v>
      </c>
      <c r="AZ209" s="98">
        <v>0.18205714285714286</v>
      </c>
      <c r="BA209" s="81"/>
      <c r="BB209" s="98">
        <v>211.69679630636585</v>
      </c>
      <c r="BC209" s="98">
        <v>0.1258119658119658</v>
      </c>
    </row>
    <row r="210" spans="29:55" ht="12">
      <c r="AC210" s="5"/>
      <c r="AD210" s="5"/>
      <c r="AH210" s="98">
        <v>220.2201949987385</v>
      </c>
      <c r="AI210" s="98">
        <v>0.2777142857142857</v>
      </c>
      <c r="AJ210" s="98">
        <v>61.054022965852454</v>
      </c>
      <c r="AK210" s="98">
        <v>0.141994301994302</v>
      </c>
      <c r="AL210" s="81"/>
      <c r="AM210" s="98">
        <v>229.0867652767784</v>
      </c>
      <c r="AN210" s="98">
        <v>0.24439999999999998</v>
      </c>
      <c r="AO210" s="81"/>
      <c r="AP210" s="98">
        <v>220.2201949987385</v>
      </c>
      <c r="AQ210" s="98">
        <v>0.21333333333333335</v>
      </c>
      <c r="AR210" s="81"/>
      <c r="AS210" s="98">
        <v>229.0867652767784</v>
      </c>
      <c r="AT210" s="98">
        <v>0.22734285714285715</v>
      </c>
      <c r="AU210" s="81"/>
      <c r="AV210" s="98">
        <v>220.2201949987385</v>
      </c>
      <c r="AW210" s="98">
        <v>0.20754985754985752</v>
      </c>
      <c r="AX210" s="81"/>
      <c r="AY210" s="98">
        <v>220.2201949987385</v>
      </c>
      <c r="AZ210" s="98">
        <v>0.18411428571428573</v>
      </c>
      <c r="BA210" s="81"/>
      <c r="BB210" s="98">
        <v>220.2201949987385</v>
      </c>
      <c r="BC210" s="98">
        <v>0.12923076923076923</v>
      </c>
    </row>
    <row r="211" spans="29:55" ht="12">
      <c r="AC211" s="5"/>
      <c r="AD211" s="5"/>
      <c r="AH211" s="98">
        <v>229.0867652767784</v>
      </c>
      <c r="AI211" s="98">
        <v>0.28457142857142853</v>
      </c>
      <c r="AJ211" s="98">
        <v>63.09573444801846</v>
      </c>
      <c r="AK211" s="98">
        <v>0.14706552706552706</v>
      </c>
      <c r="AL211" s="81"/>
      <c r="AM211" s="98">
        <v>238.31032401582607</v>
      </c>
      <c r="AN211" s="98">
        <v>0.247</v>
      </c>
      <c r="AO211" s="81"/>
      <c r="AP211" s="98">
        <v>229.0867652767784</v>
      </c>
      <c r="AQ211" s="98">
        <v>0.21698005698005698</v>
      </c>
      <c r="AR211" s="81"/>
      <c r="AS211" s="98">
        <v>238.31032401582607</v>
      </c>
      <c r="AT211" s="98">
        <v>0.23151428571428573</v>
      </c>
      <c r="AU211" s="81"/>
      <c r="AV211" s="98">
        <v>229.0867652767784</v>
      </c>
      <c r="AW211" s="98">
        <v>0.2102279202279202</v>
      </c>
      <c r="AX211" s="81"/>
      <c r="AY211" s="98">
        <v>229.0867652767784</v>
      </c>
      <c r="AZ211" s="98">
        <v>0.18617142857142857</v>
      </c>
      <c r="BA211" s="81"/>
      <c r="BB211" s="98">
        <v>229.0867652767784</v>
      </c>
      <c r="BC211" s="98">
        <v>0.13401709401709402</v>
      </c>
    </row>
    <row r="212" spans="29:55" ht="12">
      <c r="AC212" s="5"/>
      <c r="AD212" s="5"/>
      <c r="AH212" s="98">
        <v>238.31032401582607</v>
      </c>
      <c r="AI212" s="98">
        <v>0.288</v>
      </c>
      <c r="AJ212" s="98">
        <v>65.20572293428525</v>
      </c>
      <c r="AK212" s="98">
        <v>0.15213675213675215</v>
      </c>
      <c r="AL212" s="81"/>
      <c r="AM212" s="98">
        <v>247.90524439032166</v>
      </c>
      <c r="AN212" s="98">
        <v>0.2522</v>
      </c>
      <c r="AO212" s="81"/>
      <c r="AP212" s="98">
        <v>238.31032401582607</v>
      </c>
      <c r="AQ212" s="98">
        <v>0.22062678062678065</v>
      </c>
      <c r="AR212" s="81"/>
      <c r="AS212" s="98">
        <v>247.90524439032166</v>
      </c>
      <c r="AT212" s="98">
        <v>0.2336</v>
      </c>
      <c r="AU212" s="81"/>
      <c r="AV212" s="98">
        <v>238.31032401582607</v>
      </c>
      <c r="AW212" s="98">
        <v>0.2129059829059829</v>
      </c>
      <c r="AX212" s="81"/>
      <c r="AY212" s="98">
        <v>238.31032401582607</v>
      </c>
      <c r="AZ212" s="98">
        <v>0.18822857142857144</v>
      </c>
      <c r="BA212" s="81"/>
      <c r="BB212" s="98">
        <v>238.31032401582607</v>
      </c>
      <c r="BC212" s="98">
        <v>0.13811965811965812</v>
      </c>
    </row>
    <row r="213" spans="29:55" ht="12">
      <c r="AC213" s="5"/>
      <c r="AD213" s="5"/>
      <c r="AH213" s="98">
        <v>247.90524439032166</v>
      </c>
      <c r="AI213" s="98">
        <v>0.2914285714285714</v>
      </c>
      <c r="AJ213" s="98">
        <v>67.38627168030851</v>
      </c>
      <c r="AK213" s="98">
        <v>0.15467236467236467</v>
      </c>
      <c r="AL213" s="81"/>
      <c r="AM213" s="98">
        <v>257.8864782716832</v>
      </c>
      <c r="AN213" s="98">
        <v>0.25479999999999997</v>
      </c>
      <c r="AO213" s="81"/>
      <c r="AP213" s="98">
        <v>247.90524439032166</v>
      </c>
      <c r="AQ213" s="98">
        <v>0.2260968660968661</v>
      </c>
      <c r="AR213" s="81"/>
      <c r="AS213" s="98">
        <v>257.8864782716832</v>
      </c>
      <c r="AT213" s="98">
        <v>0.23777142857142858</v>
      </c>
      <c r="AU213" s="81"/>
      <c r="AV213" s="98">
        <v>247.90524439032166</v>
      </c>
      <c r="AW213" s="98">
        <v>0.21558404558404556</v>
      </c>
      <c r="AX213" s="81"/>
      <c r="AY213" s="98">
        <v>247.90524439032166</v>
      </c>
      <c r="AZ213" s="98">
        <v>0.19028571428571428</v>
      </c>
      <c r="BA213" s="81"/>
      <c r="BB213" s="98">
        <v>247.90524439032166</v>
      </c>
      <c r="BC213" s="98">
        <v>0.14290598290598291</v>
      </c>
    </row>
    <row r="214" spans="29:55" ht="12">
      <c r="AC214" s="5"/>
      <c r="AD214" s="5"/>
      <c r="AH214" s="98">
        <v>257.8864782716832</v>
      </c>
      <c r="AI214" s="98">
        <v>0.29828571428571427</v>
      </c>
      <c r="AJ214" s="98">
        <v>69.63974029624221</v>
      </c>
      <c r="AK214" s="98">
        <v>0.15720797720797722</v>
      </c>
      <c r="AL214" s="81"/>
      <c r="AM214" s="98">
        <v>268.2695795279744</v>
      </c>
      <c r="AN214" s="98">
        <v>0.26</v>
      </c>
      <c r="AO214" s="81"/>
      <c r="AP214" s="98">
        <v>257.8864782716832</v>
      </c>
      <c r="AQ214" s="98">
        <v>0.22974358974358977</v>
      </c>
      <c r="AR214" s="81"/>
      <c r="AS214" s="98">
        <v>268.2695795279744</v>
      </c>
      <c r="AT214" s="98">
        <v>0.23985714285714288</v>
      </c>
      <c r="AU214" s="81"/>
      <c r="AV214" s="98">
        <v>257.8864782716832</v>
      </c>
      <c r="AW214" s="98">
        <v>0.21826210826210823</v>
      </c>
      <c r="AX214" s="81"/>
      <c r="AY214" s="98">
        <v>257.8864782716832</v>
      </c>
      <c r="AZ214" s="98">
        <v>0.19234285714285715</v>
      </c>
      <c r="BA214" s="81"/>
      <c r="BB214" s="98">
        <v>257.8864782716832</v>
      </c>
      <c r="BC214" s="98">
        <v>0.147008547008547</v>
      </c>
    </row>
    <row r="215" spans="29:55" ht="12">
      <c r="AC215" s="5"/>
      <c r="AD215" s="5"/>
      <c r="AH215" s="98">
        <v>268.2695795279744</v>
      </c>
      <c r="AI215" s="98">
        <v>0.3017142857142857</v>
      </c>
      <c r="AJ215" s="98">
        <v>71.96856730011419</v>
      </c>
      <c r="AK215" s="98">
        <v>0.16227920227920228</v>
      </c>
      <c r="AL215" s="81"/>
      <c r="AM215" s="98">
        <v>279.0707282616708</v>
      </c>
      <c r="AN215" s="98">
        <v>0.2626</v>
      </c>
      <c r="AO215" s="81"/>
      <c r="AP215" s="98">
        <v>268.2695795279744</v>
      </c>
      <c r="AQ215" s="98">
        <v>0.2333903133903134</v>
      </c>
      <c r="AR215" s="81"/>
      <c r="AS215" s="98">
        <v>279.0707282616708</v>
      </c>
      <c r="AT215" s="98">
        <v>0.24402857142857143</v>
      </c>
      <c r="AU215" s="81"/>
      <c r="AV215" s="98">
        <v>268.2695795279744</v>
      </c>
      <c r="AW215" s="98">
        <v>0.2209401709401709</v>
      </c>
      <c r="AX215" s="81"/>
      <c r="AY215" s="98">
        <v>268.2695795279744</v>
      </c>
      <c r="AZ215" s="98">
        <v>0.19440000000000002</v>
      </c>
      <c r="BA215" s="81"/>
      <c r="BB215" s="98">
        <v>268.2695795279744</v>
      </c>
      <c r="BC215" s="98">
        <v>0.1517948717948718</v>
      </c>
    </row>
    <row r="216" spans="29:55" ht="12">
      <c r="AC216" s="5"/>
      <c r="AD216" s="5"/>
      <c r="AH216" s="98">
        <v>279.0707282616708</v>
      </c>
      <c r="AI216" s="98">
        <v>0.3051428571428571</v>
      </c>
      <c r="AJ216" s="98">
        <v>74.3752727565894</v>
      </c>
      <c r="AK216" s="98">
        <v>0.16481481481481483</v>
      </c>
      <c r="AL216" s="81"/>
      <c r="AM216" s="98">
        <v>290.30675602329393</v>
      </c>
      <c r="AN216" s="98">
        <v>0.2704</v>
      </c>
      <c r="AO216" s="81"/>
      <c r="AP216" s="98">
        <v>279.0707282616708</v>
      </c>
      <c r="AQ216" s="98">
        <v>0.23521367521367523</v>
      </c>
      <c r="AR216" s="81"/>
      <c r="AS216" s="98">
        <v>290.30675602329393</v>
      </c>
      <c r="AT216" s="98">
        <v>0.2502857142857143</v>
      </c>
      <c r="AU216" s="81"/>
      <c r="AV216" s="98">
        <v>279.0707282616708</v>
      </c>
      <c r="AW216" s="98">
        <v>0.2236182336182336</v>
      </c>
      <c r="AX216" s="81"/>
      <c r="AY216" s="98">
        <v>279.0707282616708</v>
      </c>
      <c r="AZ216" s="98">
        <v>0.19542857142857142</v>
      </c>
      <c r="BA216" s="81"/>
      <c r="BB216" s="98">
        <v>279.0707282616708</v>
      </c>
      <c r="BC216" s="98">
        <v>0.1558974358974359</v>
      </c>
    </row>
    <row r="217" spans="29:55" ht="12">
      <c r="AC217" s="5"/>
      <c r="AD217" s="5"/>
      <c r="AH217" s="98">
        <v>290.30675602329393</v>
      </c>
      <c r="AI217" s="98">
        <v>0.312</v>
      </c>
      <c r="AJ217" s="98">
        <v>76.86246100397628</v>
      </c>
      <c r="AK217" s="98">
        <v>0.16481481481481483</v>
      </c>
      <c r="AL217" s="81"/>
      <c r="AM217" s="98">
        <v>301.99517204020407</v>
      </c>
      <c r="AN217" s="98">
        <v>0.27299999999999996</v>
      </c>
      <c r="AO217" s="81"/>
      <c r="AP217" s="98">
        <v>290.30675602329393</v>
      </c>
      <c r="AQ217" s="98">
        <v>0.2406837606837607</v>
      </c>
      <c r="AR217" s="81"/>
      <c r="AS217" s="98">
        <v>301.99517204020407</v>
      </c>
      <c r="AT217" s="98">
        <v>0.2523714285714286</v>
      </c>
      <c r="AU217" s="81"/>
      <c r="AV217" s="98">
        <v>290.30675602329393</v>
      </c>
      <c r="AW217" s="98">
        <v>0.22763532763532762</v>
      </c>
      <c r="AX217" s="81"/>
      <c r="AY217" s="98">
        <v>290.30675602329393</v>
      </c>
      <c r="AZ217" s="98">
        <v>0.19851428571428573</v>
      </c>
      <c r="BA217" s="81"/>
      <c r="BB217" s="98">
        <v>290.30675602329393</v>
      </c>
      <c r="BC217" s="98">
        <v>0.1641025641025641</v>
      </c>
    </row>
    <row r="218" spans="29:55" ht="12">
      <c r="AC218" s="5"/>
      <c r="AD218" s="5"/>
      <c r="AH218" s="98">
        <v>301.99517204020407</v>
      </c>
      <c r="AI218" s="98">
        <v>0.31885714285714284</v>
      </c>
      <c r="AJ218" s="98">
        <v>79.432823472427</v>
      </c>
      <c r="AK218" s="98">
        <v>0.16735042735042735</v>
      </c>
      <c r="AL218" s="81"/>
      <c r="AM218" s="98">
        <v>314.1541905014245</v>
      </c>
      <c r="AN218" s="98">
        <v>0.2756</v>
      </c>
      <c r="AO218" s="81"/>
      <c r="AP218" s="98">
        <v>301.99517204020407</v>
      </c>
      <c r="AQ218" s="98">
        <v>0.24433048433048435</v>
      </c>
      <c r="AR218" s="81"/>
      <c r="AS218" s="98">
        <v>314.1541905014245</v>
      </c>
      <c r="AT218" s="98">
        <v>0.25654285714285713</v>
      </c>
      <c r="AU218" s="81"/>
      <c r="AV218" s="98">
        <v>301.99517204020407</v>
      </c>
      <c r="AW218" s="98">
        <v>0.2303133903133903</v>
      </c>
      <c r="AX218" s="81"/>
      <c r="AY218" s="98">
        <v>301.99517204020407</v>
      </c>
      <c r="AZ218" s="98">
        <v>0.20057142857142857</v>
      </c>
      <c r="BA218" s="81"/>
      <c r="BB218" s="98">
        <v>301.99517204020407</v>
      </c>
      <c r="BC218" s="98">
        <v>0.1688888888888889</v>
      </c>
    </row>
    <row r="219" spans="29:55" ht="12">
      <c r="AC219" s="5"/>
      <c r="AD219" s="5"/>
      <c r="AH219" s="98">
        <v>314.1541905014245</v>
      </c>
      <c r="AI219" s="98">
        <v>0.3222857142857143</v>
      </c>
      <c r="AJ219" s="98">
        <v>82.08914159638135</v>
      </c>
      <c r="AK219" s="98">
        <v>0.1698860398860399</v>
      </c>
      <c r="AL219" s="81"/>
      <c r="AM219" s="98">
        <v>326.80275894101555</v>
      </c>
      <c r="AN219" s="98">
        <v>0.2808</v>
      </c>
      <c r="AO219" s="81"/>
      <c r="AP219" s="98">
        <v>314.1541905014245</v>
      </c>
      <c r="AQ219" s="98">
        <v>0.24980056980056983</v>
      </c>
      <c r="AR219" s="81"/>
      <c r="AS219" s="98">
        <v>326.80275894101555</v>
      </c>
      <c r="AT219" s="98">
        <v>0.25862857142857143</v>
      </c>
      <c r="AU219" s="81"/>
      <c r="AV219" s="98">
        <v>314.1541905014245</v>
      </c>
      <c r="AW219" s="98">
        <v>0.2343304843304843</v>
      </c>
      <c r="AX219" s="81"/>
      <c r="AY219" s="98">
        <v>314.1541905014245</v>
      </c>
      <c r="AZ219" s="98">
        <v>0.20262857142857144</v>
      </c>
      <c r="BA219" s="81"/>
      <c r="BB219" s="98">
        <v>314.1541905014245</v>
      </c>
      <c r="BC219" s="98">
        <v>0.172991452991453</v>
      </c>
    </row>
    <row r="220" spans="29:55" ht="12">
      <c r="AC220" s="5"/>
      <c r="AD220" s="5"/>
      <c r="AH220" s="98">
        <v>326.80275894101555</v>
      </c>
      <c r="AI220" s="98">
        <v>0.3257142857142857</v>
      </c>
      <c r="AJ220" s="98">
        <v>84.83428982440596</v>
      </c>
      <c r="AK220" s="98">
        <v>0.17242165242165242</v>
      </c>
      <c r="AL220" s="81"/>
      <c r="AM220" s="98">
        <v>339.96058776422797</v>
      </c>
      <c r="AN220" s="98">
        <v>0.286</v>
      </c>
      <c r="AO220" s="81"/>
      <c r="AP220" s="98">
        <v>326.80275894101555</v>
      </c>
      <c r="AQ220" s="98">
        <v>0.25162393162393165</v>
      </c>
      <c r="AR220" s="81"/>
      <c r="AS220" s="98">
        <v>339.96058776422797</v>
      </c>
      <c r="AT220" s="98">
        <v>0.26280000000000003</v>
      </c>
      <c r="AU220" s="81"/>
      <c r="AV220" s="98">
        <v>326.80275894101555</v>
      </c>
      <c r="AW220" s="98">
        <v>0.23700854700854698</v>
      </c>
      <c r="AX220" s="81"/>
      <c r="AY220" s="98">
        <v>326.80275894101555</v>
      </c>
      <c r="AZ220" s="98">
        <v>0.20365714285714287</v>
      </c>
      <c r="BA220" s="81"/>
      <c r="BB220" s="98">
        <v>326.80275894101555</v>
      </c>
      <c r="BC220" s="98">
        <v>0.1770940170940171</v>
      </c>
    </row>
    <row r="221" spans="29:55" ht="12">
      <c r="AC221" s="5"/>
      <c r="AD221" s="5"/>
      <c r="AH221" s="98">
        <v>339.96058776422797</v>
      </c>
      <c r="AI221" s="98">
        <v>0.3325714285714286</v>
      </c>
      <c r="AJ221" s="98">
        <v>87.67123872968551</v>
      </c>
      <c r="AK221" s="98">
        <v>0.17495726495726496</v>
      </c>
      <c r="AL221" s="81"/>
      <c r="AM221" s="98">
        <v>353.6481809624473</v>
      </c>
      <c r="AN221" s="98">
        <v>0.28859999999999997</v>
      </c>
      <c r="AO221" s="81"/>
      <c r="AP221" s="98">
        <v>339.96058776422797</v>
      </c>
      <c r="AQ221" s="98">
        <v>0.25709401709401714</v>
      </c>
      <c r="AR221" s="81"/>
      <c r="AS221" s="98">
        <v>353.6481809624473</v>
      </c>
      <c r="AT221" s="98">
        <v>0.2669714285714286</v>
      </c>
      <c r="AU221" s="81"/>
      <c r="AV221" s="98">
        <v>339.96058776422797</v>
      </c>
      <c r="AW221" s="98">
        <v>0.23968660968660965</v>
      </c>
      <c r="AX221" s="81"/>
      <c r="AY221" s="98">
        <v>339.96058776422797</v>
      </c>
      <c r="AZ221" s="98">
        <v>0.20674285714285714</v>
      </c>
      <c r="BA221" s="81"/>
      <c r="BB221" s="98">
        <v>339.96058776422797</v>
      </c>
      <c r="BC221" s="98">
        <v>0.18393162393162393</v>
      </c>
    </row>
    <row r="222" spans="29:55" ht="12">
      <c r="AC222" s="5"/>
      <c r="AD222" s="5"/>
      <c r="AH222" s="98">
        <v>353.6481809624473</v>
      </c>
      <c r="AI222" s="98">
        <v>0.33599999999999997</v>
      </c>
      <c r="AJ222" s="98">
        <v>90.60305822453242</v>
      </c>
      <c r="AK222" s="98">
        <v>0.17495726495726496</v>
      </c>
      <c r="AL222" s="81"/>
      <c r="AM222" s="98">
        <v>367.88686806479274</v>
      </c>
      <c r="AN222" s="98">
        <v>0.2964</v>
      </c>
      <c r="AO222" s="81"/>
      <c r="AP222" s="98">
        <v>353.6481809624473</v>
      </c>
      <c r="AQ222" s="98">
        <v>0.2607407407407408</v>
      </c>
      <c r="AR222" s="81"/>
      <c r="AS222" s="98">
        <v>367.88686806479274</v>
      </c>
      <c r="AT222" s="98">
        <v>0.27114285714285713</v>
      </c>
      <c r="AU222" s="81"/>
      <c r="AV222" s="98">
        <v>353.6481809624473</v>
      </c>
      <c r="AW222" s="98">
        <v>0.24370370370370367</v>
      </c>
      <c r="AX222" s="81"/>
      <c r="AY222" s="98">
        <v>353.6481809624473</v>
      </c>
      <c r="AZ222" s="98">
        <v>0.20777142857142858</v>
      </c>
      <c r="BA222" s="81"/>
      <c r="BB222" s="98">
        <v>353.6481809624473</v>
      </c>
      <c r="BC222" s="98">
        <v>0.18598290598290598</v>
      </c>
    </row>
    <row r="223" spans="29:55" ht="12">
      <c r="AC223" s="5"/>
      <c r="AD223" s="5"/>
      <c r="AH223" s="98">
        <v>367.88686806479274</v>
      </c>
      <c r="AI223" s="98">
        <v>0.34285714285714286</v>
      </c>
      <c r="AJ223" s="98">
        <v>93.63292088239274</v>
      </c>
      <c r="AK223" s="98">
        <v>0.1774928774928775</v>
      </c>
      <c r="AL223" s="81"/>
      <c r="AM223" s="98">
        <v>382.69883737615936</v>
      </c>
      <c r="AN223" s="98">
        <v>0.299</v>
      </c>
      <c r="AO223" s="81"/>
      <c r="AP223" s="98">
        <v>367.88686806479274</v>
      </c>
      <c r="AQ223" s="98">
        <v>0.26621082621082626</v>
      </c>
      <c r="AR223" s="81"/>
      <c r="AS223" s="98">
        <v>382.69883737615936</v>
      </c>
      <c r="AT223" s="98">
        <v>0.27322857142857143</v>
      </c>
      <c r="AU223" s="81"/>
      <c r="AV223" s="98">
        <v>367.88686806479274</v>
      </c>
      <c r="AW223" s="98">
        <v>0.24638176638176634</v>
      </c>
      <c r="AX223" s="81"/>
      <c r="AY223" s="98">
        <v>367.88686806479274</v>
      </c>
      <c r="AZ223" s="98">
        <v>0.21085714285714285</v>
      </c>
      <c r="BA223" s="81"/>
      <c r="BB223" s="98">
        <v>367.88686806479274</v>
      </c>
      <c r="BC223" s="98">
        <v>0.18803418803418803</v>
      </c>
    </row>
    <row r="224" spans="29:55" ht="12">
      <c r="AC224" s="5"/>
      <c r="AD224" s="5"/>
      <c r="AH224" s="98">
        <v>382.69883737615936</v>
      </c>
      <c r="AI224" s="98">
        <v>0.34628571428571425</v>
      </c>
      <c r="AJ224" s="98">
        <v>96.76410537094388</v>
      </c>
      <c r="AK224" s="98">
        <v>0.18002849002849003</v>
      </c>
      <c r="AL224" s="81"/>
      <c r="AM224" s="98">
        <v>398.1071705535018</v>
      </c>
      <c r="AN224" s="98">
        <v>0.30419999999999997</v>
      </c>
      <c r="AO224" s="81"/>
      <c r="AP224" s="98">
        <v>382.69883737615936</v>
      </c>
      <c r="AQ224" s="98">
        <v>0.2698575498575499</v>
      </c>
      <c r="AR224" s="81"/>
      <c r="AS224" s="98">
        <v>398.1071705535018</v>
      </c>
      <c r="AT224" s="98">
        <v>0.2794857142857143</v>
      </c>
      <c r="AU224" s="81"/>
      <c r="AV224" s="98">
        <v>382.69883737615936</v>
      </c>
      <c r="AW224" s="98">
        <v>0.2503988603988604</v>
      </c>
      <c r="AX224" s="81"/>
      <c r="AY224" s="98">
        <v>382.69883737615936</v>
      </c>
      <c r="AZ224" s="98">
        <v>0.2118857142857143</v>
      </c>
      <c r="BA224" s="81"/>
      <c r="BB224" s="98">
        <v>382.69883737615936</v>
      </c>
      <c r="BC224" s="98">
        <v>0.1894017094017094</v>
      </c>
    </row>
    <row r="225" spans="29:55" ht="12">
      <c r="AC225" s="5"/>
      <c r="AD225" s="5"/>
      <c r="AH225" s="98">
        <v>398.1071705535018</v>
      </c>
      <c r="AI225" s="98">
        <v>0.35314285714285715</v>
      </c>
      <c r="AJ225" s="98">
        <v>99.99999999999847</v>
      </c>
      <c r="AK225" s="98">
        <v>0.18256410256410258</v>
      </c>
      <c r="AL225" s="81"/>
      <c r="AM225" s="98">
        <v>414.1358785742375</v>
      </c>
      <c r="AN225" s="98">
        <v>0.30679999999999996</v>
      </c>
      <c r="AO225" s="81"/>
      <c r="AP225" s="98">
        <v>398.1071705535018</v>
      </c>
      <c r="AQ225" s="98">
        <v>0.27350427350427353</v>
      </c>
      <c r="AR225" s="81"/>
      <c r="AS225" s="98">
        <v>414.1358785742375</v>
      </c>
      <c r="AT225" s="98">
        <v>0.2815714285714286</v>
      </c>
      <c r="AU225" s="81"/>
      <c r="AV225" s="98">
        <v>398.1071705535018</v>
      </c>
      <c r="AW225" s="98">
        <v>0.25307692307692303</v>
      </c>
      <c r="AX225" s="81"/>
      <c r="AY225" s="98">
        <v>398.1071705535018</v>
      </c>
      <c r="AZ225" s="98">
        <v>0.2149714285714286</v>
      </c>
      <c r="BA225" s="81"/>
      <c r="BB225" s="98">
        <v>398.1071705535018</v>
      </c>
      <c r="BC225" s="98">
        <v>0.19145299145299144</v>
      </c>
    </row>
    <row r="226" spans="29:55" ht="12">
      <c r="AC226" s="5"/>
      <c r="AD226" s="5"/>
      <c r="AH226" s="98">
        <v>414.1358785742375</v>
      </c>
      <c r="AI226" s="98">
        <v>0.35657142857142854</v>
      </c>
      <c r="AJ226" s="98">
        <v>103.34410638805402</v>
      </c>
      <c r="AK226" s="98">
        <v>0.1850997150997151</v>
      </c>
      <c r="AL226" s="81"/>
      <c r="AM226" s="98">
        <v>430.8099391528203</v>
      </c>
      <c r="AN226" s="98">
        <v>0.312</v>
      </c>
      <c r="AO226" s="81"/>
      <c r="AP226" s="98">
        <v>414.1358785742375</v>
      </c>
      <c r="AQ226" s="98">
        <v>0.278974358974359</v>
      </c>
      <c r="AR226" s="81"/>
      <c r="AS226" s="98">
        <v>430.8099391528203</v>
      </c>
      <c r="AT226" s="98">
        <v>0.28574285714285713</v>
      </c>
      <c r="AU226" s="81"/>
      <c r="AV226" s="98">
        <v>414.1358785742375</v>
      </c>
      <c r="AW226" s="98">
        <v>0.2570940170940171</v>
      </c>
      <c r="AX226" s="81"/>
      <c r="AY226" s="98">
        <v>414.1358785742375</v>
      </c>
      <c r="AZ226" s="98">
        <v>0.216</v>
      </c>
      <c r="BA226" s="81"/>
      <c r="BB226" s="98">
        <v>414.1358785742375</v>
      </c>
      <c r="BC226" s="98">
        <v>0.19213675213675213</v>
      </c>
    </row>
    <row r="227" spans="29:55" ht="12">
      <c r="AC227" s="5"/>
      <c r="AD227" s="5"/>
      <c r="AH227" s="98">
        <v>430.8099391528203</v>
      </c>
      <c r="AI227" s="98">
        <v>0.36342857142857143</v>
      </c>
      <c r="AJ227" s="98">
        <v>106.80004325145592</v>
      </c>
      <c r="AK227" s="98">
        <v>0.18763532763532764</v>
      </c>
      <c r="AL227" s="81"/>
      <c r="AM227" s="98">
        <v>448.1553356637918</v>
      </c>
      <c r="AN227" s="98">
        <v>0.3198</v>
      </c>
      <c r="AO227" s="81"/>
      <c r="AP227" s="98">
        <v>430.8099391528203</v>
      </c>
      <c r="AQ227" s="98">
        <v>0.28262108262108265</v>
      </c>
      <c r="AR227" s="81"/>
      <c r="AS227" s="98">
        <v>448.1553356637918</v>
      </c>
      <c r="AT227" s="98">
        <v>0.28991428571428574</v>
      </c>
      <c r="AU227" s="81"/>
      <c r="AV227" s="98">
        <v>430.8099391528203</v>
      </c>
      <c r="AW227" s="98">
        <v>0.2597720797720797</v>
      </c>
      <c r="AX227" s="81"/>
      <c r="AY227" s="98">
        <v>430.8099391528203</v>
      </c>
      <c r="AZ227" s="98">
        <v>0.21805714285714287</v>
      </c>
      <c r="BA227" s="81"/>
      <c r="BB227" s="98">
        <v>430.8099391528203</v>
      </c>
      <c r="BC227" s="98">
        <v>0.19350427350427352</v>
      </c>
    </row>
    <row r="228" spans="29:55" ht="12">
      <c r="AC228" s="5"/>
      <c r="AD228" s="5"/>
      <c r="AH228" s="98">
        <v>448.1553356637918</v>
      </c>
      <c r="AI228" s="98">
        <v>0.3702857142857143</v>
      </c>
      <c r="AJ228" s="98">
        <v>110.371550320274</v>
      </c>
      <c r="AK228" s="98">
        <v>0.18763532763532764</v>
      </c>
      <c r="AL228" s="81"/>
      <c r="AM228" s="98">
        <v>466.19909763196347</v>
      </c>
      <c r="AN228" s="98">
        <v>0.325</v>
      </c>
      <c r="AO228" s="81"/>
      <c r="AP228" s="98">
        <v>448.1553356637918</v>
      </c>
      <c r="AQ228" s="98">
        <v>0.28809116809116814</v>
      </c>
      <c r="AR228" s="81"/>
      <c r="AS228" s="98">
        <v>466.19909763196347</v>
      </c>
      <c r="AT228" s="98">
        <v>0.2940857142857143</v>
      </c>
      <c r="AU228" s="81"/>
      <c r="AV228" s="98">
        <v>448.1553356637918</v>
      </c>
      <c r="AW228" s="98">
        <v>0.26378917378917377</v>
      </c>
      <c r="AX228" s="81"/>
      <c r="AY228" s="98">
        <v>448.1553356637918</v>
      </c>
      <c r="AZ228" s="98">
        <v>0.22011428571428573</v>
      </c>
      <c r="BA228" s="81"/>
      <c r="BB228" s="98">
        <v>448.1553356637918</v>
      </c>
      <c r="BC228" s="98">
        <v>0.19555555555555557</v>
      </c>
    </row>
    <row r="229" spans="29:55" ht="12">
      <c r="AC229" s="5"/>
      <c r="AD229" s="5"/>
      <c r="AH229" s="98">
        <v>466.19909763196347</v>
      </c>
      <c r="AI229" s="98">
        <v>0.3737142857142857</v>
      </c>
      <c r="AJ229" s="98">
        <v>114.06249238513028</v>
      </c>
      <c r="AK229" s="98">
        <v>0.1901709401709402</v>
      </c>
      <c r="AL229" s="81"/>
      <c r="AM229" s="98">
        <v>484.9693428528265</v>
      </c>
      <c r="AN229" s="98">
        <v>0.3302</v>
      </c>
      <c r="AO229" s="81"/>
      <c r="AP229" s="98">
        <v>466.19909763196347</v>
      </c>
      <c r="AQ229" s="98">
        <v>0.2917378917378918</v>
      </c>
      <c r="AR229" s="81"/>
      <c r="AS229" s="98">
        <v>484.9693428528265</v>
      </c>
      <c r="AT229" s="98">
        <v>0.2982571428571429</v>
      </c>
      <c r="AU229" s="81"/>
      <c r="AV229" s="98">
        <v>466.19909763196347</v>
      </c>
      <c r="AW229" s="98">
        <v>0.2664672364672364</v>
      </c>
      <c r="AX229" s="81"/>
      <c r="AY229" s="98">
        <v>466.19909763196347</v>
      </c>
      <c r="AZ229" s="98">
        <v>0.22217142857142858</v>
      </c>
      <c r="BA229" s="81"/>
      <c r="BB229" s="98">
        <v>466.19909763196347</v>
      </c>
      <c r="BC229" s="98">
        <v>0.19692307692307692</v>
      </c>
    </row>
    <row r="230" spans="29:55" ht="12">
      <c r="AC230" s="5"/>
      <c r="AD230" s="5"/>
      <c r="AH230" s="98">
        <v>484.9693428528265</v>
      </c>
      <c r="AI230" s="98">
        <v>0.38057142857142856</v>
      </c>
      <c r="AJ230" s="98">
        <v>117.87686347935686</v>
      </c>
      <c r="AK230" s="98">
        <v>0.1927065527065527</v>
      </c>
      <c r="AL230" s="81"/>
      <c r="AM230" s="98">
        <v>504.49532120882634</v>
      </c>
      <c r="AN230" s="98">
        <v>0.3354</v>
      </c>
      <c r="AO230" s="81"/>
      <c r="AP230" s="98">
        <v>484.9693428528265</v>
      </c>
      <c r="AQ230" s="98">
        <v>0.2953846153846154</v>
      </c>
      <c r="AR230" s="81"/>
      <c r="AS230" s="98">
        <v>504.49532120882634</v>
      </c>
      <c r="AT230" s="98">
        <v>0.30242857142857144</v>
      </c>
      <c r="AU230" s="81"/>
      <c r="AV230" s="98">
        <v>484.9693428528265</v>
      </c>
      <c r="AW230" s="98">
        <v>0.2691452991452991</v>
      </c>
      <c r="AX230" s="81"/>
      <c r="AY230" s="98">
        <v>484.9693428528265</v>
      </c>
      <c r="AZ230" s="98">
        <v>0.22422857142857144</v>
      </c>
      <c r="BA230" s="81"/>
      <c r="BB230" s="98">
        <v>484.9693428528265</v>
      </c>
      <c r="BC230" s="98">
        <v>0.19829059829059828</v>
      </c>
    </row>
    <row r="231" spans="29:55" ht="12">
      <c r="AC231" s="5"/>
      <c r="AD231" s="5"/>
      <c r="AH231" s="98">
        <v>504.49532120882634</v>
      </c>
      <c r="AI231" s="98">
        <v>0.3874285714285714</v>
      </c>
      <c r="AJ231" s="98">
        <v>121.8187912010096</v>
      </c>
      <c r="AK231" s="98">
        <v>0.19524216524216526</v>
      </c>
      <c r="AL231" s="81"/>
      <c r="AM231" s="98">
        <v>524.8074602497803</v>
      </c>
      <c r="AN231" s="98">
        <v>0.34059999999999996</v>
      </c>
      <c r="AO231" s="81"/>
      <c r="AP231" s="98">
        <v>504.49532120882634</v>
      </c>
      <c r="AQ231" s="98">
        <v>0.2953846153846154</v>
      </c>
      <c r="AR231" s="81"/>
      <c r="AS231" s="98">
        <v>524.8074602497803</v>
      </c>
      <c r="AT231" s="98">
        <v>0.30660000000000004</v>
      </c>
      <c r="AU231" s="81"/>
      <c r="AV231" s="98">
        <v>504.49532120882634</v>
      </c>
      <c r="AW231" s="98">
        <v>0.2691452991452991</v>
      </c>
      <c r="AX231" s="81"/>
      <c r="AY231" s="98">
        <v>504.49532120882634</v>
      </c>
      <c r="AZ231" s="98">
        <v>0.22628571428571428</v>
      </c>
      <c r="BA231" s="81"/>
      <c r="BB231" s="98">
        <v>504.49532120882634</v>
      </c>
      <c r="BC231" s="98">
        <v>0.19965811965811966</v>
      </c>
    </row>
    <row r="232" spans="29:55" ht="12">
      <c r="AC232" s="5"/>
      <c r="AD232" s="5"/>
      <c r="AH232" s="98">
        <v>524.8074602497803</v>
      </c>
      <c r="AI232" s="98">
        <v>0.39428571428571424</v>
      </c>
      <c r="AJ232" s="98">
        <v>125.89254117941469</v>
      </c>
      <c r="AK232" s="98">
        <v>0.19777777777777777</v>
      </c>
      <c r="AL232" s="81"/>
      <c r="AM232" s="98">
        <v>545.9374126084683</v>
      </c>
      <c r="AN232" s="98">
        <v>0.3458</v>
      </c>
      <c r="AO232" s="81"/>
      <c r="AP232" s="98">
        <v>524.8074602497803</v>
      </c>
      <c r="AQ232" s="98">
        <v>0.29720797720797726</v>
      </c>
      <c r="AR232" s="81"/>
      <c r="AS232" s="98">
        <v>545.9374126084683</v>
      </c>
      <c r="AT232" s="98">
        <v>0.3107714285714286</v>
      </c>
      <c r="AU232" s="81"/>
      <c r="AV232" s="98">
        <v>524.8074602497803</v>
      </c>
      <c r="AW232" s="98">
        <v>0.27048433048433046</v>
      </c>
      <c r="AX232" s="81"/>
      <c r="AY232" s="98">
        <v>524.8074602497803</v>
      </c>
      <c r="AZ232" s="98">
        <v>0.22834285714285715</v>
      </c>
      <c r="BA232" s="81"/>
      <c r="BB232" s="98">
        <v>524.8074602497803</v>
      </c>
      <c r="BC232" s="98">
        <v>0.20102564102564102</v>
      </c>
    </row>
    <row r="233" spans="29:55" ht="12">
      <c r="AC233" s="5"/>
      <c r="AD233" s="5"/>
      <c r="AH233" s="98">
        <v>545.9374126084683</v>
      </c>
      <c r="AI233" s="98">
        <v>0.3977142857142857</v>
      </c>
      <c r="AJ233" s="98">
        <v>130.10252169108102</v>
      </c>
      <c r="AK233" s="98">
        <v>0.20284900284900287</v>
      </c>
      <c r="AL233" s="81"/>
      <c r="AM233" s="98">
        <v>567.9181053252829</v>
      </c>
      <c r="AN233" s="98">
        <v>0.3484</v>
      </c>
      <c r="AO233" s="81"/>
      <c r="AP233" s="98">
        <v>545.9374126084683</v>
      </c>
      <c r="AQ233" s="98">
        <v>0.29903133903133905</v>
      </c>
      <c r="AR233" s="81"/>
      <c r="AS233" s="98">
        <v>567.9181053252829</v>
      </c>
      <c r="AT233" s="98">
        <v>0.31494285714285714</v>
      </c>
      <c r="AU233" s="81"/>
      <c r="AV233" s="98">
        <v>545.9374126084683</v>
      </c>
      <c r="AW233" s="98">
        <v>0.2718233618233618</v>
      </c>
      <c r="AX233" s="81"/>
      <c r="AY233" s="98">
        <v>545.9374126084683</v>
      </c>
      <c r="AZ233" s="98">
        <v>0.2304</v>
      </c>
      <c r="BA233" s="81"/>
      <c r="BB233" s="98">
        <v>545.9374126084683</v>
      </c>
      <c r="BC233" s="98">
        <v>0.2023931623931624</v>
      </c>
    </row>
    <row r="234" spans="29:55" ht="12">
      <c r="AC234" s="5"/>
      <c r="AD234" s="5"/>
      <c r="AH234" s="98">
        <v>567.9181053252829</v>
      </c>
      <c r="AI234" s="98">
        <v>0.4045714285714285</v>
      </c>
      <c r="AJ234" s="98">
        <v>134.4532884299739</v>
      </c>
      <c r="AK234" s="98">
        <v>0.2053846153846154</v>
      </c>
      <c r="AL234" s="81"/>
      <c r="AM234" s="98">
        <v>590.783791158804</v>
      </c>
      <c r="AN234" s="98">
        <v>0.35619999999999996</v>
      </c>
      <c r="AO234" s="81"/>
      <c r="AP234" s="98">
        <v>567.9181053252829</v>
      </c>
      <c r="AQ234" s="98">
        <v>0.30450142450142453</v>
      </c>
      <c r="AR234" s="81"/>
      <c r="AS234" s="98">
        <v>590.783791158804</v>
      </c>
      <c r="AT234" s="98">
        <v>0.3212</v>
      </c>
      <c r="AU234" s="81"/>
      <c r="AV234" s="98">
        <v>567.9181053252829</v>
      </c>
      <c r="AW234" s="98">
        <v>0.2758404558404558</v>
      </c>
      <c r="AX234" s="81"/>
      <c r="AY234" s="98">
        <v>567.9181053252829</v>
      </c>
      <c r="AZ234" s="98">
        <v>0.23142857142857143</v>
      </c>
      <c r="BA234" s="81"/>
      <c r="BB234" s="98">
        <v>567.9181053252829</v>
      </c>
      <c r="BC234" s="98">
        <v>0.20376068376068376</v>
      </c>
    </row>
    <row r="235" spans="29:55" ht="12">
      <c r="AC235" s="5"/>
      <c r="AD235" s="5"/>
      <c r="AH235" s="98">
        <v>590.783791158804</v>
      </c>
      <c r="AI235" s="98">
        <v>0.4114285714285714</v>
      </c>
      <c r="AJ235" s="98">
        <v>138.94954943731148</v>
      </c>
      <c r="AK235" s="98">
        <v>0.2053846153846154</v>
      </c>
      <c r="AL235" s="81"/>
      <c r="AM235" s="98">
        <v>614.5701019622542</v>
      </c>
      <c r="AN235" s="98">
        <v>0.3614</v>
      </c>
      <c r="AO235" s="81"/>
      <c r="AP235" s="98">
        <v>590.783791158804</v>
      </c>
      <c r="AQ235" s="98">
        <v>0.30997150997151</v>
      </c>
      <c r="AR235" s="81"/>
      <c r="AS235" s="98">
        <v>614.5701019622542</v>
      </c>
      <c r="AT235" s="98">
        <v>0.3232857142857143</v>
      </c>
      <c r="AU235" s="81"/>
      <c r="AV235" s="98">
        <v>590.783791158804</v>
      </c>
      <c r="AW235" s="98">
        <v>0.27985754985754985</v>
      </c>
      <c r="AX235" s="81"/>
      <c r="AY235" s="98">
        <v>590.783791158804</v>
      </c>
      <c r="AZ235" s="98">
        <v>0.23451428571428573</v>
      </c>
      <c r="BA235" s="81"/>
      <c r="BB235" s="98">
        <v>590.783791158804</v>
      </c>
      <c r="BC235" s="98">
        <v>0.2058119658119658</v>
      </c>
    </row>
    <row r="236" spans="29:55" ht="12">
      <c r="AC236" s="5"/>
      <c r="AD236" s="5"/>
      <c r="AH236" s="98">
        <v>614.5701019622542</v>
      </c>
      <c r="AI236" s="98">
        <v>0.4148571428571428</v>
      </c>
      <c r="AJ236" s="98">
        <v>143.59617019621908</v>
      </c>
      <c r="AK236" s="98">
        <v>0.21045584045584045</v>
      </c>
      <c r="AL236" s="81"/>
      <c r="AM236" s="98">
        <v>639.3141042090132</v>
      </c>
      <c r="AN236" s="98">
        <v>0.3666</v>
      </c>
      <c r="AO236" s="81"/>
      <c r="AP236" s="98">
        <v>614.5701019622542</v>
      </c>
      <c r="AQ236" s="98">
        <v>0.31544159544159545</v>
      </c>
      <c r="AR236" s="81"/>
      <c r="AS236" s="98">
        <v>639.3141042090132</v>
      </c>
      <c r="AT236" s="98">
        <v>0.32954285714285714</v>
      </c>
      <c r="AU236" s="81"/>
      <c r="AV236" s="98">
        <v>614.5701019622542</v>
      </c>
      <c r="AW236" s="98">
        <v>0.28387464387464384</v>
      </c>
      <c r="AX236" s="81"/>
      <c r="AY236" s="98">
        <v>614.5701019622542</v>
      </c>
      <c r="AZ236" s="98">
        <v>0.23554285714285714</v>
      </c>
      <c r="BA236" s="81"/>
      <c r="BB236" s="98">
        <v>614.5701019622542</v>
      </c>
      <c r="BC236" s="98">
        <v>0.2064957264957265</v>
      </c>
    </row>
    <row r="237" spans="29:55" ht="12">
      <c r="AC237" s="5"/>
      <c r="AD237" s="5"/>
      <c r="AH237" s="98">
        <v>639.3141042090132</v>
      </c>
      <c r="AI237" s="98">
        <v>0.4251428571428571</v>
      </c>
      <c r="AJ237" s="98">
        <v>148.39817889675405</v>
      </c>
      <c r="AK237" s="98">
        <v>0.212991452991453</v>
      </c>
      <c r="AL237" s="81"/>
      <c r="AM237" s="98">
        <v>665.0543567537165</v>
      </c>
      <c r="AN237" s="98">
        <v>0.37439999999999996</v>
      </c>
      <c r="AO237" s="81"/>
      <c r="AP237" s="98">
        <v>639.3141042090132</v>
      </c>
      <c r="AQ237" s="98">
        <v>0.32091168091168093</v>
      </c>
      <c r="AR237" s="81"/>
      <c r="AS237" s="98">
        <v>665.0543567537165</v>
      </c>
      <c r="AT237" s="98">
        <v>0.33371428571428574</v>
      </c>
      <c r="AU237" s="81"/>
      <c r="AV237" s="98">
        <v>639.3141042090132</v>
      </c>
      <c r="AW237" s="98">
        <v>0.2878917378917379</v>
      </c>
      <c r="AX237" s="81"/>
      <c r="AY237" s="98">
        <v>639.3141042090132</v>
      </c>
      <c r="AZ237" s="98">
        <v>0.2376</v>
      </c>
      <c r="BA237" s="81"/>
      <c r="BB237" s="98">
        <v>639.3141042090132</v>
      </c>
      <c r="BC237" s="98">
        <v>0.20786324786324786</v>
      </c>
    </row>
    <row r="238" spans="29:55" ht="12">
      <c r="AC238" s="5"/>
      <c r="AD238" s="5"/>
      <c r="AH238" s="98">
        <v>665.0543567537165</v>
      </c>
      <c r="AI238" s="98">
        <v>0.432</v>
      </c>
      <c r="AJ238" s="98">
        <v>153.36077187699857</v>
      </c>
      <c r="AK238" s="98">
        <v>0.21552706552706552</v>
      </c>
      <c r="AL238" s="81"/>
      <c r="AM238" s="98">
        <v>691.830970918949</v>
      </c>
      <c r="AN238" s="98">
        <v>0.3796</v>
      </c>
      <c r="AO238" s="81"/>
      <c r="AP238" s="98">
        <v>665.0543567537165</v>
      </c>
      <c r="AQ238" s="98">
        <v>0.32455840455840457</v>
      </c>
      <c r="AR238" s="81"/>
      <c r="AS238" s="98">
        <v>691.830970918949</v>
      </c>
      <c r="AT238" s="98">
        <v>0.3378857142857143</v>
      </c>
      <c r="AU238" s="81"/>
      <c r="AV238" s="98">
        <v>665.0543567537165</v>
      </c>
      <c r="AW238" s="98">
        <v>0.29056980056980053</v>
      </c>
      <c r="AX238" s="81"/>
      <c r="AY238" s="98">
        <v>665.0543567537165</v>
      </c>
      <c r="AZ238" s="98">
        <v>0.24068571428571428</v>
      </c>
      <c r="BA238" s="81"/>
      <c r="BB238" s="98">
        <v>665.0543567537165</v>
      </c>
      <c r="BC238" s="98">
        <v>0.20923076923076922</v>
      </c>
    </row>
    <row r="239" spans="29:55" ht="12">
      <c r="AC239" s="5"/>
      <c r="AD239" s="5"/>
      <c r="AH239" s="98">
        <v>691.830970918949</v>
      </c>
      <c r="AI239" s="98">
        <v>0.4354285714285714</v>
      </c>
      <c r="AJ239" s="98">
        <v>158.48931924610866</v>
      </c>
      <c r="AK239" s="98">
        <v>0.21806267806267807</v>
      </c>
      <c r="AL239" s="81"/>
      <c r="AM239" s="98">
        <v>719.6856730011654</v>
      </c>
      <c r="AN239" s="98">
        <v>0.3848</v>
      </c>
      <c r="AO239" s="81"/>
      <c r="AP239" s="98">
        <v>691.830970918949</v>
      </c>
      <c r="AQ239" s="98">
        <v>0.33002849002849005</v>
      </c>
      <c r="AR239" s="81"/>
      <c r="AS239" s="98">
        <v>719.6856730011654</v>
      </c>
      <c r="AT239" s="98">
        <v>0.3420571428571429</v>
      </c>
      <c r="AU239" s="81"/>
      <c r="AV239" s="98">
        <v>691.830970918949</v>
      </c>
      <c r="AW239" s="98">
        <v>0.2945868945868946</v>
      </c>
      <c r="AX239" s="81"/>
      <c r="AY239" s="98">
        <v>691.830970918949</v>
      </c>
      <c r="AZ239" s="98">
        <v>0.24171428571428571</v>
      </c>
      <c r="BA239" s="81"/>
      <c r="BB239" s="98">
        <v>691.830970918949</v>
      </c>
      <c r="BC239" s="98">
        <v>0.2105982905982906</v>
      </c>
    </row>
    <row r="240" spans="29:55" ht="12">
      <c r="AC240" s="5"/>
      <c r="AD240" s="5"/>
      <c r="AH240" s="98">
        <v>719.6856730011654</v>
      </c>
      <c r="AI240" s="98">
        <v>0.4422857142857143</v>
      </c>
      <c r="AJ240" s="98">
        <v>163.78937069540362</v>
      </c>
      <c r="AK240" s="98">
        <v>0.22059829059829061</v>
      </c>
      <c r="AL240" s="81"/>
      <c r="AM240" s="98">
        <v>748.6618692932441</v>
      </c>
      <c r="AN240" s="98">
        <v>0.38999999999999996</v>
      </c>
      <c r="AO240" s="81"/>
      <c r="AP240" s="98">
        <v>719.6856730011654</v>
      </c>
      <c r="AQ240" s="98">
        <v>0.3336752136752137</v>
      </c>
      <c r="AR240" s="81"/>
      <c r="AS240" s="98">
        <v>748.6618692932441</v>
      </c>
      <c r="AT240" s="98">
        <v>0.34831428571428574</v>
      </c>
      <c r="AU240" s="81"/>
      <c r="AV240" s="98">
        <v>719.6856730011654</v>
      </c>
      <c r="AW240" s="98">
        <v>0.2972649572649572</v>
      </c>
      <c r="AX240" s="81"/>
      <c r="AY240" s="98">
        <v>719.6856730011654</v>
      </c>
      <c r="AZ240" s="98">
        <v>0.24377142857142858</v>
      </c>
      <c r="BA240" s="81"/>
      <c r="BB240" s="98">
        <v>719.6856730011654</v>
      </c>
      <c r="BC240" s="98">
        <v>0.21128205128205127</v>
      </c>
    </row>
    <row r="241" spans="29:55" ht="12">
      <c r="AC241" s="5"/>
      <c r="AD241" s="5"/>
      <c r="AH241" s="98">
        <v>748.6618692932441</v>
      </c>
      <c r="AI241" s="98">
        <v>0.4491428571428571</v>
      </c>
      <c r="AJ241" s="98">
        <v>169.2666615037847</v>
      </c>
      <c r="AK241" s="98">
        <v>0.22313390313390313</v>
      </c>
      <c r="AL241" s="81"/>
      <c r="AM241" s="98">
        <v>778.8047137249971</v>
      </c>
      <c r="AN241" s="98">
        <v>0.3978</v>
      </c>
      <c r="AO241" s="81"/>
      <c r="AP241" s="98">
        <v>748.6618692932441</v>
      </c>
      <c r="AQ241" s="98">
        <v>0.340968660968661</v>
      </c>
      <c r="AR241" s="81"/>
      <c r="AS241" s="98">
        <v>778.8047137249971</v>
      </c>
      <c r="AT241" s="98">
        <v>0.3524857142857143</v>
      </c>
      <c r="AU241" s="81"/>
      <c r="AV241" s="98">
        <v>748.6618692932441</v>
      </c>
      <c r="AW241" s="98">
        <v>0.3026210826210826</v>
      </c>
      <c r="AX241" s="81"/>
      <c r="AY241" s="98">
        <v>748.6618692932441</v>
      </c>
      <c r="AZ241" s="98">
        <v>0.24582857142857142</v>
      </c>
      <c r="BA241" s="81"/>
      <c r="BB241" s="98">
        <v>748.6618692932441</v>
      </c>
      <c r="BC241" s="98">
        <v>0.21264957264957265</v>
      </c>
    </row>
    <row r="242" spans="29:55" ht="12">
      <c r="AC242" s="5"/>
      <c r="AD242" s="5"/>
      <c r="AH242" s="98">
        <v>778.8047137249971</v>
      </c>
      <c r="AI242" s="98">
        <v>0.45599999999999996</v>
      </c>
      <c r="AJ242" s="98">
        <v>174.9271187439812</v>
      </c>
      <c r="AK242" s="98">
        <v>0.22566951566951568</v>
      </c>
      <c r="AL242" s="81"/>
      <c r="AM242" s="98">
        <v>810.1611782270425</v>
      </c>
      <c r="AN242" s="98">
        <v>0.40559999999999996</v>
      </c>
      <c r="AO242" s="81"/>
      <c r="AP242" s="98">
        <v>778.8047137249971</v>
      </c>
      <c r="AQ242" s="98">
        <v>0.3482621082621083</v>
      </c>
      <c r="AR242" s="81"/>
      <c r="AS242" s="98">
        <v>810.1611782270425</v>
      </c>
      <c r="AT242" s="98">
        <v>0.35874285714285714</v>
      </c>
      <c r="AU242" s="81"/>
      <c r="AV242" s="98">
        <v>778.8047137249971</v>
      </c>
      <c r="AW242" s="98">
        <v>0.3066381766381766</v>
      </c>
      <c r="AX242" s="81"/>
      <c r="AY242" s="98">
        <v>778.8047137249971</v>
      </c>
      <c r="AZ242" s="98">
        <v>0.24685714285714286</v>
      </c>
      <c r="BA242" s="81"/>
      <c r="BB242" s="98">
        <v>778.8047137249971</v>
      </c>
      <c r="BC242" s="98">
        <v>0.214017094017094</v>
      </c>
    </row>
    <row r="243" spans="29:55" ht="12">
      <c r="AC243" s="5"/>
      <c r="AD243" s="5"/>
      <c r="AH243" s="98">
        <v>810.1611782270425</v>
      </c>
      <c r="AI243" s="98">
        <v>0.46285714285714286</v>
      </c>
      <c r="AJ243" s="98">
        <v>180.77686769634028</v>
      </c>
      <c r="AK243" s="98">
        <v>0.23074074074074075</v>
      </c>
      <c r="AL243" s="81"/>
      <c r="AM243" s="98">
        <v>842.7801259276875</v>
      </c>
      <c r="AN243" s="98">
        <v>0.4108</v>
      </c>
      <c r="AO243" s="81"/>
      <c r="AP243" s="98">
        <v>810.1611782270425</v>
      </c>
      <c r="AQ243" s="98">
        <v>0.35190883190883193</v>
      </c>
      <c r="AR243" s="81"/>
      <c r="AS243" s="98">
        <v>842.7801259276875</v>
      </c>
      <c r="AT243" s="98">
        <v>0.36291428571428574</v>
      </c>
      <c r="AU243" s="81"/>
      <c r="AV243" s="98">
        <v>810.1611782270425</v>
      </c>
      <c r="AW243" s="98">
        <v>0.3093162393162393</v>
      </c>
      <c r="AX243" s="81"/>
      <c r="AY243" s="98">
        <v>810.1611782270425</v>
      </c>
      <c r="AZ243" s="98">
        <v>0.24994285714285716</v>
      </c>
      <c r="BA243" s="81"/>
      <c r="BB243" s="98">
        <v>810.1611782270425</v>
      </c>
      <c r="BC243" s="98">
        <v>0.2153846153846154</v>
      </c>
    </row>
    <row r="244" spans="29:55" ht="12">
      <c r="AC244" s="5"/>
      <c r="AD244" s="5"/>
      <c r="AH244" s="98">
        <v>842.7801259276875</v>
      </c>
      <c r="AI244" s="98">
        <v>0.4697142857142857</v>
      </c>
      <c r="AJ244" s="98">
        <v>186.82223847710043</v>
      </c>
      <c r="AK244" s="98">
        <v>0.2332763532763533</v>
      </c>
      <c r="AL244" s="81"/>
      <c r="AM244" s="98">
        <v>876.7123872968866</v>
      </c>
      <c r="AN244" s="98">
        <v>0.416</v>
      </c>
      <c r="AO244" s="81"/>
      <c r="AP244" s="98">
        <v>842.7801259276875</v>
      </c>
      <c r="AQ244" s="98">
        <v>0.3573789173789174</v>
      </c>
      <c r="AR244" s="81"/>
      <c r="AS244" s="98">
        <v>876.7123872968866</v>
      </c>
      <c r="AT244" s="98">
        <v>0.3670857142857143</v>
      </c>
      <c r="AU244" s="81"/>
      <c r="AV244" s="98">
        <v>842.7801259276875</v>
      </c>
      <c r="AW244" s="98">
        <v>0.3133333333333333</v>
      </c>
      <c r="AX244" s="81"/>
      <c r="AY244" s="98">
        <v>842.7801259276875</v>
      </c>
      <c r="AZ244" s="98">
        <v>0.25097142857142857</v>
      </c>
      <c r="BA244" s="81"/>
      <c r="BB244" s="98">
        <v>842.7801259276875</v>
      </c>
      <c r="BC244" s="98">
        <v>0.21606837606837606</v>
      </c>
    </row>
    <row r="245" spans="29:55" ht="12">
      <c r="AC245" s="5"/>
      <c r="AD245" s="5"/>
      <c r="AH245" s="98">
        <v>876.7123872968866</v>
      </c>
      <c r="AI245" s="98">
        <v>0.48</v>
      </c>
      <c r="AJ245" s="98">
        <v>193.0697728883216</v>
      </c>
      <c r="AK245" s="98">
        <v>0.2358119658119658</v>
      </c>
      <c r="AL245" s="81"/>
      <c r="AM245" s="98">
        <v>912.0108393559292</v>
      </c>
      <c r="AN245" s="98">
        <v>0.42379999999999995</v>
      </c>
      <c r="AO245" s="81"/>
      <c r="AP245" s="98">
        <v>876.7123872968866</v>
      </c>
      <c r="AQ245" s="98">
        <v>0.3628490028490029</v>
      </c>
      <c r="AR245" s="81"/>
      <c r="AS245" s="98">
        <v>912.0108393559292</v>
      </c>
      <c r="AT245" s="98">
        <v>0.3712571428571429</v>
      </c>
      <c r="AU245" s="81"/>
      <c r="AV245" s="98">
        <v>876.7123872968866</v>
      </c>
      <c r="AW245" s="98">
        <v>0.3173504273504273</v>
      </c>
      <c r="AX245" s="81"/>
      <c r="AY245" s="98">
        <v>876.7123872968866</v>
      </c>
      <c r="AZ245" s="98">
        <v>0.25302857142857144</v>
      </c>
      <c r="BA245" s="81"/>
      <c r="BB245" s="98">
        <v>876.7123872968866</v>
      </c>
      <c r="BC245" s="98">
        <v>0.21743589743589745</v>
      </c>
    </row>
    <row r="246" spans="29:55" ht="12">
      <c r="AC246" s="5"/>
      <c r="AD246" s="5"/>
      <c r="AH246" s="98">
        <v>912.0108393559292</v>
      </c>
      <c r="AI246" s="98">
        <v>0.48342857142857143</v>
      </c>
      <c r="AJ246" s="98">
        <v>199.5262314968844</v>
      </c>
      <c r="AK246" s="98">
        <v>0.2358119658119658</v>
      </c>
      <c r="AL246" s="81"/>
      <c r="AM246" s="98">
        <v>948.7304880762923</v>
      </c>
      <c r="AN246" s="98">
        <v>0.429</v>
      </c>
      <c r="AO246" s="81"/>
      <c r="AP246" s="98">
        <v>912.0108393559292</v>
      </c>
      <c r="AQ246" s="98">
        <v>0.36649572649572654</v>
      </c>
      <c r="AR246" s="81"/>
      <c r="AS246" s="98">
        <v>948.7304880762923</v>
      </c>
      <c r="AT246" s="98">
        <v>0.37751428571428575</v>
      </c>
      <c r="AU246" s="81"/>
      <c r="AV246" s="98">
        <v>912.0108393559292</v>
      </c>
      <c r="AW246" s="98">
        <v>0.32002849002849</v>
      </c>
      <c r="AX246" s="81"/>
      <c r="AY246" s="98">
        <v>912.0108393559292</v>
      </c>
      <c r="AZ246" s="98">
        <v>0.2550857142857143</v>
      </c>
      <c r="BA246" s="81"/>
      <c r="BB246" s="98">
        <v>912.0108393559292</v>
      </c>
      <c r="BC246" s="98">
        <v>0.2181196581196581</v>
      </c>
    </row>
    <row r="247" spans="29:55" ht="12">
      <c r="AC247" s="5"/>
      <c r="AD247" s="5"/>
      <c r="AH247" s="98">
        <v>948.7304880762923</v>
      </c>
      <c r="AI247" s="98">
        <v>0.49371428571428566</v>
      </c>
      <c r="AJ247" s="98">
        <v>206.19860095021835</v>
      </c>
      <c r="AK247" s="98">
        <v>0.2358119658119658</v>
      </c>
      <c r="AL247" s="81"/>
      <c r="AM247" s="98">
        <v>986.9285540960583</v>
      </c>
      <c r="AN247" s="98">
        <v>0.4316</v>
      </c>
      <c r="AO247" s="81"/>
      <c r="AP247" s="98">
        <v>948.7304880762923</v>
      </c>
      <c r="AQ247" s="98">
        <v>0.371965811965812</v>
      </c>
      <c r="AR247" s="81"/>
      <c r="AS247" s="98">
        <v>986.9285540960583</v>
      </c>
      <c r="AT247" s="98">
        <v>0.3796</v>
      </c>
      <c r="AU247" s="81"/>
      <c r="AV247" s="98">
        <v>948.7304880762923</v>
      </c>
      <c r="AW247" s="98">
        <v>0.32404558404558403</v>
      </c>
      <c r="AX247" s="81"/>
      <c r="AY247" s="98">
        <v>948.7304880762923</v>
      </c>
      <c r="AZ247" s="98">
        <v>0.2571428571428572</v>
      </c>
      <c r="BA247" s="81"/>
      <c r="BB247" s="98">
        <v>948.7304880762923</v>
      </c>
      <c r="BC247" s="98">
        <v>0.2188034188034188</v>
      </c>
    </row>
    <row r="248" spans="29:55" ht="12">
      <c r="AC248" s="5"/>
      <c r="AD248" s="5"/>
      <c r="AH248" s="98">
        <v>986.9285540960583</v>
      </c>
      <c r="AI248" s="98">
        <v>0.4971428571428571</v>
      </c>
      <c r="AJ248" s="98">
        <v>213.09410153667585</v>
      </c>
      <c r="AK248" s="98">
        <v>0.23834757834757836</v>
      </c>
      <c r="AL248" s="81"/>
      <c r="AM248" s="98">
        <v>1026.6645618874743</v>
      </c>
      <c r="AN248" s="98">
        <v>0.4316</v>
      </c>
      <c r="AO248" s="81"/>
      <c r="AP248" s="98">
        <v>986.9285540960583</v>
      </c>
      <c r="AQ248" s="98">
        <v>0.3792592592592593</v>
      </c>
      <c r="AR248" s="81"/>
      <c r="AS248" s="98">
        <v>1026.6645618874743</v>
      </c>
      <c r="AT248" s="98">
        <v>0.3796</v>
      </c>
      <c r="AU248" s="81"/>
      <c r="AV248" s="98">
        <v>986.9285540960583</v>
      </c>
      <c r="AW248" s="98">
        <v>0.328062678062678</v>
      </c>
      <c r="AX248" s="81"/>
      <c r="AY248" s="98">
        <v>986.9285540960583</v>
      </c>
      <c r="AZ248" s="98">
        <v>0.2571428571428572</v>
      </c>
      <c r="BA248" s="81"/>
      <c r="BB248" s="98">
        <v>986.9285540960583</v>
      </c>
      <c r="BC248" s="98">
        <v>0.2194871794871795</v>
      </c>
    </row>
    <row r="249" spans="29:55" ht="12">
      <c r="AC249" s="5"/>
      <c r="AD249" s="5"/>
      <c r="AH249" s="98">
        <v>1026.6645618874743</v>
      </c>
      <c r="AI249" s="98">
        <v>0.4971428571428571</v>
      </c>
      <c r="AJ249" s="98">
        <v>220.22019499873352</v>
      </c>
      <c r="AK249" s="98">
        <v>0.23834757834757836</v>
      </c>
      <c r="AL249" s="81"/>
      <c r="AM249" s="98">
        <v>1068.0004325146006</v>
      </c>
      <c r="AN249" s="98">
        <v>0.43679999999999997</v>
      </c>
      <c r="AO249" s="81"/>
      <c r="AP249" s="98">
        <v>1026.6645618874743</v>
      </c>
      <c r="AQ249" s="98">
        <v>0.3847293447293448</v>
      </c>
      <c r="AR249" s="81"/>
      <c r="AS249" s="98">
        <v>1068.0004325146006</v>
      </c>
      <c r="AT249" s="98">
        <v>0.3837714285714286</v>
      </c>
      <c r="AU249" s="81"/>
      <c r="AV249" s="98">
        <v>1026.6645618874743</v>
      </c>
      <c r="AW249" s="98">
        <v>0.332079772079772</v>
      </c>
      <c r="AX249" s="81"/>
      <c r="AY249" s="98">
        <v>1026.6645618874743</v>
      </c>
      <c r="AZ249" s="98">
        <v>0.2571428571428572</v>
      </c>
      <c r="BA249" s="81"/>
      <c r="BB249" s="98">
        <v>1026.6645618874743</v>
      </c>
      <c r="BC249" s="98">
        <v>0.2194871794871795</v>
      </c>
    </row>
    <row r="250" spans="29:55" ht="12">
      <c r="AC250" s="5"/>
      <c r="AD250" s="5"/>
      <c r="AH250" s="98">
        <v>1068.0004325146006</v>
      </c>
      <c r="AI250" s="98">
        <v>0.5005714285714286</v>
      </c>
      <c r="AJ250" s="98">
        <v>227.5845926074747</v>
      </c>
      <c r="AK250" s="98">
        <v>0.24341880341880343</v>
      </c>
      <c r="AL250" s="81"/>
      <c r="AM250" s="98">
        <v>1111.000580125595</v>
      </c>
      <c r="AN250" s="98">
        <v>0.4446</v>
      </c>
      <c r="AO250" s="81"/>
      <c r="AP250" s="98">
        <v>1068.0004325146006</v>
      </c>
      <c r="AQ250" s="98">
        <v>0.39202279202279205</v>
      </c>
      <c r="AR250" s="81"/>
      <c r="AS250" s="98">
        <v>1111.000580125595</v>
      </c>
      <c r="AT250" s="98">
        <v>0.38794285714285714</v>
      </c>
      <c r="AU250" s="81"/>
      <c r="AV250" s="98">
        <v>1068.0004325146006</v>
      </c>
      <c r="AW250" s="98">
        <v>0.33609686609686606</v>
      </c>
      <c r="AX250" s="81"/>
      <c r="AY250" s="98">
        <v>1068.0004325146006</v>
      </c>
      <c r="AZ250" s="98">
        <v>0.2592</v>
      </c>
      <c r="BA250" s="81"/>
      <c r="BB250" s="98">
        <v>1068.0004325146006</v>
      </c>
      <c r="BC250" s="98">
        <v>0.2194871794871795</v>
      </c>
    </row>
    <row r="251" spans="29:55" ht="12">
      <c r="AC251" s="5"/>
      <c r="AD251" s="5"/>
      <c r="AH251" s="98">
        <v>1111.000580125595</v>
      </c>
      <c r="AI251" s="98">
        <v>0.5074285714285715</v>
      </c>
      <c r="AJ251" s="98">
        <v>235.19526350709157</v>
      </c>
      <c r="AK251" s="98">
        <v>0.24595441595441597</v>
      </c>
      <c r="AL251" s="81"/>
      <c r="AM251" s="98">
        <v>1155.7320123299992</v>
      </c>
      <c r="AN251" s="98">
        <v>0.45239999999999997</v>
      </c>
      <c r="AO251" s="81"/>
      <c r="AP251" s="98">
        <v>1111.000580125595</v>
      </c>
      <c r="AQ251" s="98">
        <v>0.39749287749287754</v>
      </c>
      <c r="AR251" s="81"/>
      <c r="AS251" s="98">
        <v>1155.7320123299992</v>
      </c>
      <c r="AT251" s="98">
        <v>0.3942</v>
      </c>
      <c r="AU251" s="81"/>
      <c r="AV251" s="98">
        <v>1111.000580125595</v>
      </c>
      <c r="AW251" s="98">
        <v>0.34011396011396006</v>
      </c>
      <c r="AX251" s="81"/>
      <c r="AY251" s="98">
        <v>1111.000580125595</v>
      </c>
      <c r="AZ251" s="98">
        <v>0.26125714285714285</v>
      </c>
      <c r="BA251" s="81"/>
      <c r="BB251" s="98">
        <v>1111.000580125595</v>
      </c>
      <c r="BC251" s="98">
        <v>0.22085470085470085</v>
      </c>
    </row>
    <row r="252" spans="29:55" ht="12">
      <c r="AC252" s="5"/>
      <c r="AD252" s="5"/>
      <c r="AH252" s="98">
        <v>1155.7320123299992</v>
      </c>
      <c r="AI252" s="98">
        <v>0.5177142857142857</v>
      </c>
      <c r="AJ252" s="98">
        <v>243.06044333843641</v>
      </c>
      <c r="AK252" s="98">
        <v>0.251025641025641</v>
      </c>
      <c r="AL252" s="81"/>
      <c r="AM252" s="98">
        <v>1202.2644346174427</v>
      </c>
      <c r="AN252" s="98">
        <v>0.4602</v>
      </c>
      <c r="AO252" s="81"/>
      <c r="AP252" s="98">
        <v>1155.7320123299992</v>
      </c>
      <c r="AQ252" s="98">
        <v>0.4011396011396012</v>
      </c>
      <c r="AR252" s="81"/>
      <c r="AS252" s="98">
        <v>1202.2644346174427</v>
      </c>
      <c r="AT252" s="98">
        <v>0.40045714285714284</v>
      </c>
      <c r="AU252" s="81"/>
      <c r="AV252" s="98">
        <v>1155.7320123299992</v>
      </c>
      <c r="AW252" s="98">
        <v>0.34279202279202275</v>
      </c>
      <c r="AX252" s="81"/>
      <c r="AY252" s="98">
        <v>1155.7320123299992</v>
      </c>
      <c r="AZ252" s="98">
        <v>0.2622857142857143</v>
      </c>
      <c r="BA252" s="81"/>
      <c r="BB252" s="98">
        <v>1155.7320123299992</v>
      </c>
      <c r="BC252" s="98">
        <v>0.22153846153846155</v>
      </c>
    </row>
    <row r="253" spans="29:55" ht="12">
      <c r="AC253" s="5"/>
      <c r="AD253" s="5"/>
      <c r="AH253" s="98">
        <v>1202.2644346174427</v>
      </c>
      <c r="AI253" s="98">
        <v>0.5245714285714286</v>
      </c>
      <c r="AJ253" s="98">
        <v>251.18864315095334</v>
      </c>
      <c r="AK253" s="98">
        <v>0.2535612535612536</v>
      </c>
      <c r="AL253" s="81"/>
      <c r="AM253" s="98">
        <v>1250.6703589804856</v>
      </c>
      <c r="AN253" s="98">
        <v>0.46799999999999997</v>
      </c>
      <c r="AO253" s="81"/>
      <c r="AP253" s="98">
        <v>1202.2644346174427</v>
      </c>
      <c r="AQ253" s="98">
        <v>0.4047863247863248</v>
      </c>
      <c r="AR253" s="81"/>
      <c r="AS253" s="98">
        <v>1250.6703589804856</v>
      </c>
      <c r="AT253" s="98">
        <v>0.40671428571428575</v>
      </c>
      <c r="AU253" s="81"/>
      <c r="AV253" s="98">
        <v>1202.2644346174427</v>
      </c>
      <c r="AW253" s="98">
        <v>0.34547008547008545</v>
      </c>
      <c r="AX253" s="81"/>
      <c r="AY253" s="98">
        <v>1202.2644346174427</v>
      </c>
      <c r="AZ253" s="98">
        <v>0.26434285714285716</v>
      </c>
      <c r="BA253" s="81"/>
      <c r="BB253" s="98">
        <v>1202.2644346174427</v>
      </c>
      <c r="BC253" s="98">
        <v>0.2222222222222222</v>
      </c>
    </row>
    <row r="254" spans="29:55" ht="12">
      <c r="AC254" s="5"/>
      <c r="AD254" s="5"/>
      <c r="AH254" s="98">
        <v>1250.6703589804856</v>
      </c>
      <c r="AI254" s="98">
        <v>0.5348571428571428</v>
      </c>
      <c r="AJ254" s="98">
        <v>259.58865861263456</v>
      </c>
      <c r="AK254" s="98">
        <v>0.2560968660968661</v>
      </c>
      <c r="AL254" s="81"/>
      <c r="AM254" s="98">
        <v>1301.0252169108649</v>
      </c>
      <c r="AN254" s="98">
        <v>0.4758</v>
      </c>
      <c r="AO254" s="81"/>
      <c r="AP254" s="98">
        <v>1250.6703589804856</v>
      </c>
      <c r="AQ254" s="98">
        <v>0.41390313390313394</v>
      </c>
      <c r="AR254" s="81"/>
      <c r="AS254" s="98">
        <v>1301.0252169108649</v>
      </c>
      <c r="AT254" s="98">
        <v>0.4108857142857143</v>
      </c>
      <c r="AU254" s="81"/>
      <c r="AV254" s="98">
        <v>1250.6703589804856</v>
      </c>
      <c r="AW254" s="98">
        <v>0.3508262108262108</v>
      </c>
      <c r="AX254" s="81"/>
      <c r="AY254" s="98">
        <v>1250.6703589804856</v>
      </c>
      <c r="AZ254" s="98">
        <v>0.2653714285714286</v>
      </c>
      <c r="BA254" s="81"/>
      <c r="BB254" s="98">
        <v>1250.6703589804856</v>
      </c>
      <c r="BC254" s="98">
        <v>0.2229059829059829</v>
      </c>
    </row>
    <row r="255" spans="29:55" ht="12">
      <c r="AC255" s="5"/>
      <c r="AD255" s="5"/>
      <c r="AH255" s="98">
        <v>1301.0252169108649</v>
      </c>
      <c r="AI255" s="98">
        <v>0.5417142857142857</v>
      </c>
      <c r="AJ255" s="98">
        <v>268.2695795279675</v>
      </c>
      <c r="AK255" s="98">
        <v>0.2611680911680912</v>
      </c>
      <c r="AL255" s="81"/>
      <c r="AM255" s="98">
        <v>1353.407476945229</v>
      </c>
      <c r="AN255" s="98">
        <v>0.4836</v>
      </c>
      <c r="AO255" s="81"/>
      <c r="AP255" s="98">
        <v>1301.0252169108649</v>
      </c>
      <c r="AQ255" s="98">
        <v>0.4193732193732194</v>
      </c>
      <c r="AR255" s="81"/>
      <c r="AS255" s="98">
        <v>1353.407476945229</v>
      </c>
      <c r="AT255" s="98">
        <v>0.41714285714285715</v>
      </c>
      <c r="AU255" s="81"/>
      <c r="AV255" s="98">
        <v>1301.0252169108649</v>
      </c>
      <c r="AW255" s="98">
        <v>0.3548433048433048</v>
      </c>
      <c r="AX255" s="81"/>
      <c r="AY255" s="98">
        <v>1301.0252169108649</v>
      </c>
      <c r="AZ255" s="98">
        <v>0.26742857142857146</v>
      </c>
      <c r="BA255" s="81"/>
      <c r="BB255" s="98">
        <v>1301.0252169108649</v>
      </c>
      <c r="BC255" s="98">
        <v>0.2235897435897436</v>
      </c>
    </row>
    <row r="256" spans="29:55" ht="12">
      <c r="AC256" s="5"/>
      <c r="AD256" s="5"/>
      <c r="AH256" s="98">
        <v>1353.407476945229</v>
      </c>
      <c r="AI256" s="98">
        <v>0.5519999999999999</v>
      </c>
      <c r="AJ256" s="98">
        <v>277.2407996741722</v>
      </c>
      <c r="AK256" s="98">
        <v>0.2637037037037037</v>
      </c>
      <c r="AL256" s="81"/>
      <c r="AM256" s="98">
        <v>1407.8987669435342</v>
      </c>
      <c r="AN256" s="98">
        <v>0.48879999999999996</v>
      </c>
      <c r="AO256" s="81"/>
      <c r="AP256" s="98">
        <v>1353.407476945229</v>
      </c>
      <c r="AQ256" s="98">
        <v>0.4248433048433049</v>
      </c>
      <c r="AR256" s="81"/>
      <c r="AS256" s="98">
        <v>1407.8987669435342</v>
      </c>
      <c r="AT256" s="98">
        <v>0.42131428571428575</v>
      </c>
      <c r="AU256" s="81"/>
      <c r="AV256" s="98">
        <v>1353.407476945229</v>
      </c>
      <c r="AW256" s="98">
        <v>0.3575213675213675</v>
      </c>
      <c r="AX256" s="81"/>
      <c r="AY256" s="98">
        <v>1353.407476945229</v>
      </c>
      <c r="AZ256" s="98">
        <v>0.26845714285714284</v>
      </c>
      <c r="BA256" s="81"/>
      <c r="BB256" s="98">
        <v>1353.407476945229</v>
      </c>
      <c r="BC256" s="98">
        <v>0.2242735042735043</v>
      </c>
    </row>
    <row r="257" spans="29:55" ht="12">
      <c r="AC257" s="5"/>
      <c r="AD257" s="5"/>
      <c r="AH257" s="98">
        <v>1407.8987669435342</v>
      </c>
      <c r="AI257" s="98">
        <v>0.5588571428571428</v>
      </c>
      <c r="AJ257" s="98">
        <v>286.5120269663726</v>
      </c>
      <c r="AK257" s="98">
        <v>0.26877492877492876</v>
      </c>
      <c r="AL257" s="81"/>
      <c r="AM257" s="98">
        <v>1464.584001290648</v>
      </c>
      <c r="AN257" s="98">
        <v>0.4966</v>
      </c>
      <c r="AO257" s="81"/>
      <c r="AP257" s="98">
        <v>1407.8987669435342</v>
      </c>
      <c r="AQ257" s="98">
        <v>0.43031339031339033</v>
      </c>
      <c r="AR257" s="81"/>
      <c r="AS257" s="98">
        <v>1464.584001290648</v>
      </c>
      <c r="AT257" s="98">
        <v>0.4275714285714286</v>
      </c>
      <c r="AU257" s="81"/>
      <c r="AV257" s="98">
        <v>1407.8987669435342</v>
      </c>
      <c r="AW257" s="98">
        <v>0.3601994301994302</v>
      </c>
      <c r="AX257" s="81"/>
      <c r="AY257" s="98">
        <v>1407.8987669435342</v>
      </c>
      <c r="AZ257" s="98">
        <v>0.2705142857142857</v>
      </c>
      <c r="BA257" s="81"/>
      <c r="BB257" s="98">
        <v>1407.8987669435342</v>
      </c>
      <c r="BC257" s="98">
        <v>0.2242735042735043</v>
      </c>
    </row>
    <row r="258" spans="29:55" ht="12">
      <c r="AC258" s="5"/>
      <c r="AD258" s="5"/>
      <c r="AH258" s="98">
        <v>1464.584001290648</v>
      </c>
      <c r="AI258" s="98">
        <v>0.5657142857142857</v>
      </c>
      <c r="AJ258" s="98">
        <v>296.09329396270266</v>
      </c>
      <c r="AK258" s="98">
        <v>0.27384615384615385</v>
      </c>
      <c r="AL258" s="81"/>
      <c r="AM258" s="98">
        <v>1523.551513219383</v>
      </c>
      <c r="AN258" s="98">
        <v>0.5018</v>
      </c>
      <c r="AO258" s="81"/>
      <c r="AP258" s="98">
        <v>1464.584001290648</v>
      </c>
      <c r="AQ258" s="98">
        <v>0.43396011396011397</v>
      </c>
      <c r="AR258" s="81"/>
      <c r="AS258" s="98">
        <v>1523.551513219383</v>
      </c>
      <c r="AT258" s="98">
        <v>0.43174285714285715</v>
      </c>
      <c r="AU258" s="81"/>
      <c r="AV258" s="98">
        <v>1464.584001290648</v>
      </c>
      <c r="AW258" s="98">
        <v>0.3642165242165242</v>
      </c>
      <c r="AX258" s="81"/>
      <c r="AY258" s="98">
        <v>1464.584001290648</v>
      </c>
      <c r="AZ258" s="98">
        <v>0.27154285714285714</v>
      </c>
      <c r="BA258" s="81"/>
      <c r="BB258" s="98">
        <v>1464.584001290648</v>
      </c>
      <c r="BC258" s="98">
        <v>0.22495726495726495</v>
      </c>
    </row>
    <row r="259" spans="29:55" ht="12">
      <c r="AC259" s="5"/>
      <c r="AD259" s="5"/>
      <c r="AH259" s="98">
        <v>1523.551513219383</v>
      </c>
      <c r="AI259" s="98">
        <v>0.5725714285714285</v>
      </c>
      <c r="AJ259" s="98">
        <v>305.99496872071364</v>
      </c>
      <c r="AK259" s="98">
        <v>0.27891737891737894</v>
      </c>
      <c r="AL259" s="81"/>
      <c r="AM259" s="98">
        <v>1584.893192461158</v>
      </c>
      <c r="AN259" s="98">
        <v>0.5122</v>
      </c>
      <c r="AO259" s="81"/>
      <c r="AP259" s="98">
        <v>1523.551513219383</v>
      </c>
      <c r="AQ259" s="98">
        <v>0.43943019943019945</v>
      </c>
      <c r="AR259" s="81"/>
      <c r="AS259" s="98">
        <v>1584.893192461158</v>
      </c>
      <c r="AT259" s="98">
        <v>0.438</v>
      </c>
      <c r="AU259" s="81"/>
      <c r="AV259" s="98">
        <v>1523.551513219383</v>
      </c>
      <c r="AW259" s="98">
        <v>0.36689458689458687</v>
      </c>
      <c r="AX259" s="81"/>
      <c r="AY259" s="98">
        <v>1523.551513219383</v>
      </c>
      <c r="AZ259" s="98">
        <v>0.2736</v>
      </c>
      <c r="BA259" s="81"/>
      <c r="BB259" s="98">
        <v>1523.551513219383</v>
      </c>
      <c r="BC259" s="98">
        <v>0.22495726495726495</v>
      </c>
    </row>
    <row r="260" spans="29:55" ht="12">
      <c r="AC260" s="5"/>
      <c r="AD260" s="5"/>
      <c r="AH260" s="98">
        <v>1584.893192461158</v>
      </c>
      <c r="AI260" s="98">
        <v>0.5862857142857143</v>
      </c>
      <c r="AJ260" s="98">
        <v>316.22776601683177</v>
      </c>
      <c r="AK260" s="98">
        <v>0.28145299145299146</v>
      </c>
      <c r="AL260" s="81"/>
      <c r="AM260" s="98">
        <v>1648.7046284387911</v>
      </c>
      <c r="AN260" s="98">
        <v>0.5226</v>
      </c>
      <c r="AO260" s="81"/>
      <c r="AP260" s="98">
        <v>1584.893192461158</v>
      </c>
      <c r="AQ260" s="98">
        <v>0.4430769230769231</v>
      </c>
      <c r="AR260" s="81"/>
      <c r="AS260" s="98">
        <v>1648.7046284387911</v>
      </c>
      <c r="AT260" s="98">
        <v>0.44425714285714285</v>
      </c>
      <c r="AU260" s="81"/>
      <c r="AV260" s="98">
        <v>1584.893192461158</v>
      </c>
      <c r="AW260" s="98">
        <v>0.3695726495726495</v>
      </c>
      <c r="AX260" s="81"/>
      <c r="AY260" s="98">
        <v>1584.893192461158</v>
      </c>
      <c r="AZ260" s="98">
        <v>0.2756571428571429</v>
      </c>
      <c r="BA260" s="81"/>
      <c r="BB260" s="98">
        <v>1584.893192461158</v>
      </c>
      <c r="BC260" s="98">
        <v>0.22564102564102564</v>
      </c>
    </row>
    <row r="261" spans="29:55" ht="12">
      <c r="AC261" s="5"/>
      <c r="AD261" s="5"/>
      <c r="AH261" s="98">
        <v>1648.7046284387911</v>
      </c>
      <c r="AI261" s="98">
        <v>0.5965714285714285</v>
      </c>
      <c r="AJ261" s="98">
        <v>326.8027589410062</v>
      </c>
      <c r="AK261" s="98">
        <v>0.28652421652421656</v>
      </c>
      <c r="AL261" s="81"/>
      <c r="AM261" s="98">
        <v>1715.0852592245644</v>
      </c>
      <c r="AN261" s="98">
        <v>0.5277999999999999</v>
      </c>
      <c r="AO261" s="81"/>
      <c r="AP261" s="98">
        <v>1648.7046284387911</v>
      </c>
      <c r="AQ261" s="98">
        <v>0.4521937321937322</v>
      </c>
      <c r="AR261" s="81"/>
      <c r="AS261" s="98">
        <v>1715.0852592245644</v>
      </c>
      <c r="AT261" s="98">
        <v>0.44842857142857145</v>
      </c>
      <c r="AU261" s="81"/>
      <c r="AV261" s="98">
        <v>1648.7046284387911</v>
      </c>
      <c r="AW261" s="98">
        <v>0.37358974358974356</v>
      </c>
      <c r="AX261" s="81"/>
      <c r="AY261" s="98">
        <v>1648.7046284387911</v>
      </c>
      <c r="AZ261" s="98">
        <v>0.2766857142857143</v>
      </c>
      <c r="BA261" s="81"/>
      <c r="BB261" s="98">
        <v>1648.7046284387911</v>
      </c>
      <c r="BC261" s="98">
        <v>0.22632478632478634</v>
      </c>
    </row>
    <row r="262" spans="29:55" ht="12">
      <c r="AC262" s="5"/>
      <c r="AD262" s="5"/>
      <c r="AH262" s="98">
        <v>1715.0852592245644</v>
      </c>
      <c r="AI262" s="98">
        <v>0.6034285714285714</v>
      </c>
      <c r="AJ262" s="98">
        <v>337.7313908790943</v>
      </c>
      <c r="AK262" s="98">
        <v>0.2915954415954416</v>
      </c>
      <c r="AL262" s="81"/>
      <c r="AM262" s="98">
        <v>1784.1385264956793</v>
      </c>
      <c r="AN262" s="98">
        <v>0.5356</v>
      </c>
      <c r="AO262" s="81"/>
      <c r="AP262" s="98">
        <v>1715.0852592245644</v>
      </c>
      <c r="AQ262" s="98">
        <v>0.45584045584045585</v>
      </c>
      <c r="AR262" s="81"/>
      <c r="AS262" s="98">
        <v>1784.1385264956793</v>
      </c>
      <c r="AT262" s="98">
        <v>0.4546857142857143</v>
      </c>
      <c r="AU262" s="81"/>
      <c r="AV262" s="98">
        <v>1715.0852592245644</v>
      </c>
      <c r="AW262" s="98">
        <v>0.3762678062678062</v>
      </c>
      <c r="AX262" s="81"/>
      <c r="AY262" s="98">
        <v>1715.0852592245644</v>
      </c>
      <c r="AZ262" s="98">
        <v>0.27771428571428575</v>
      </c>
      <c r="BA262" s="81"/>
      <c r="BB262" s="98">
        <v>1715.0852592245644</v>
      </c>
      <c r="BC262" s="98">
        <v>0.22632478632478634</v>
      </c>
    </row>
    <row r="263" spans="29:55" ht="12">
      <c r="AC263" s="5"/>
      <c r="AD263" s="5"/>
      <c r="AH263" s="98">
        <v>1784.1385264956793</v>
      </c>
      <c r="AI263" s="98">
        <v>0.6102857142857142</v>
      </c>
      <c r="AJ263" s="98">
        <v>349.02548789595113</v>
      </c>
      <c r="AK263" s="98">
        <v>0.2941310541310541</v>
      </c>
      <c r="AL263" s="81"/>
      <c r="AM263" s="98">
        <v>1855.9720367285768</v>
      </c>
      <c r="AN263" s="98">
        <v>0.5459999999999999</v>
      </c>
      <c r="AO263" s="81"/>
      <c r="AP263" s="98">
        <v>1784.1385264956793</v>
      </c>
      <c r="AQ263" s="98">
        <v>0.46495726495726497</v>
      </c>
      <c r="AR263" s="81"/>
      <c r="AS263" s="98">
        <v>1855.9720367285768</v>
      </c>
      <c r="AT263" s="98">
        <v>0.46094285714285715</v>
      </c>
      <c r="AU263" s="81"/>
      <c r="AV263" s="98">
        <v>1784.1385264956793</v>
      </c>
      <c r="AW263" s="98">
        <v>0.38028490028490025</v>
      </c>
      <c r="AX263" s="81"/>
      <c r="AY263" s="98">
        <v>1784.1385264956793</v>
      </c>
      <c r="AZ263" s="98">
        <v>0.27977142857142856</v>
      </c>
      <c r="BA263" s="81"/>
      <c r="BB263" s="98">
        <v>1784.1385264956793</v>
      </c>
      <c r="BC263" s="98">
        <v>0.227008547008547</v>
      </c>
    </row>
    <row r="264" spans="29:55" ht="12">
      <c r="AC264" s="5"/>
      <c r="AD264" s="5"/>
      <c r="AH264" s="98">
        <v>1855.9720367285768</v>
      </c>
      <c r="AI264" s="98">
        <v>0.624</v>
      </c>
      <c r="AJ264" s="98">
        <v>360.69727153262187</v>
      </c>
      <c r="AK264" s="98">
        <v>0.2992022792022792</v>
      </c>
      <c r="AL264" s="81"/>
      <c r="AM264" s="98">
        <v>1930.6977288833089</v>
      </c>
      <c r="AN264" s="98">
        <v>0.5564</v>
      </c>
      <c r="AO264" s="81"/>
      <c r="AP264" s="98">
        <v>1855.9720367285768</v>
      </c>
      <c r="AQ264" s="98">
        <v>0.46860398860398866</v>
      </c>
      <c r="AR264" s="81"/>
      <c r="AS264" s="98">
        <v>1930.6977288833089</v>
      </c>
      <c r="AT264" s="98">
        <v>0.4672</v>
      </c>
      <c r="AU264" s="81"/>
      <c r="AV264" s="98">
        <v>1855.9720367285768</v>
      </c>
      <c r="AW264" s="98">
        <v>0.3816239316239316</v>
      </c>
      <c r="AX264" s="81"/>
      <c r="AY264" s="98">
        <v>1855.9720367285768</v>
      </c>
      <c r="AZ264" s="98">
        <v>0.2808</v>
      </c>
      <c r="BA264" s="81"/>
      <c r="BB264" s="98">
        <v>1855.9720367285768</v>
      </c>
      <c r="BC264" s="98">
        <v>0.2276923076923077</v>
      </c>
    </row>
    <row r="265" spans="29:55" ht="12">
      <c r="AC265" s="5"/>
      <c r="AD265" s="5"/>
      <c r="AH265" s="98">
        <v>1930.6977288833089</v>
      </c>
      <c r="AI265" s="98">
        <v>0.6308571428571428</v>
      </c>
      <c r="AJ265" s="98">
        <v>372.7593720314866</v>
      </c>
      <c r="AK265" s="98">
        <v>0.30173789173789173</v>
      </c>
      <c r="AL265" s="81"/>
      <c r="AM265" s="98">
        <v>2008.4320488392693</v>
      </c>
      <c r="AN265" s="98">
        <v>0.5616</v>
      </c>
      <c r="AO265" s="81"/>
      <c r="AP265" s="98">
        <v>1930.6977288833089</v>
      </c>
      <c r="AQ265" s="98">
        <v>0.47589743589743594</v>
      </c>
      <c r="AR265" s="81"/>
      <c r="AS265" s="98">
        <v>2008.4320488392693</v>
      </c>
      <c r="AT265" s="98">
        <v>0.4713714285714286</v>
      </c>
      <c r="AU265" s="81"/>
      <c r="AV265" s="98">
        <v>1930.6977288833089</v>
      </c>
      <c r="AW265" s="98">
        <v>0.3856410256410256</v>
      </c>
      <c r="AX265" s="81"/>
      <c r="AY265" s="98">
        <v>1930.6977288833089</v>
      </c>
      <c r="AZ265" s="98">
        <v>0.28182857142857143</v>
      </c>
      <c r="BA265" s="81"/>
      <c r="BB265" s="98">
        <v>1930.6977288833089</v>
      </c>
      <c r="BC265" s="98">
        <v>0.2276923076923077</v>
      </c>
    </row>
    <row r="266" spans="29:55" ht="12">
      <c r="AC266" s="5"/>
      <c r="AD266" s="5"/>
      <c r="AH266" s="98">
        <v>2008.4320488392693</v>
      </c>
      <c r="AI266" s="98">
        <v>0.6377142857142857</v>
      </c>
      <c r="AJ266" s="98">
        <v>385.22484200366745</v>
      </c>
      <c r="AK266" s="98">
        <v>0.3068091168091168</v>
      </c>
      <c r="AL266" s="81"/>
      <c r="AM266" s="98">
        <v>2089.296130854105</v>
      </c>
      <c r="AN266" s="98">
        <v>0.5668</v>
      </c>
      <c r="AO266" s="81"/>
      <c r="AP266" s="98">
        <v>2008.4320488392693</v>
      </c>
      <c r="AQ266" s="98">
        <v>0.4777207977207978</v>
      </c>
      <c r="AR266" s="81"/>
      <c r="AS266" s="98">
        <v>2089.296130854105</v>
      </c>
      <c r="AT266" s="98">
        <v>0.47554285714285716</v>
      </c>
      <c r="AU266" s="81"/>
      <c r="AV266" s="98">
        <v>2008.4320488392693</v>
      </c>
      <c r="AW266" s="98">
        <v>0.3883190883190883</v>
      </c>
      <c r="AX266" s="81"/>
      <c r="AY266" s="98">
        <v>2008.4320488392693</v>
      </c>
      <c r="AZ266" s="98">
        <v>0.28285714285714286</v>
      </c>
      <c r="BA266" s="81"/>
      <c r="BB266" s="98">
        <v>2008.4320488392693</v>
      </c>
      <c r="BC266" s="98">
        <v>0.2276923076923077</v>
      </c>
    </row>
    <row r="267" spans="29:55" ht="12">
      <c r="AC267" s="5"/>
      <c r="AD267" s="5"/>
      <c r="AH267" s="98">
        <v>2089.296130854105</v>
      </c>
      <c r="AI267" s="98">
        <v>0.648</v>
      </c>
      <c r="AJ267" s="98">
        <v>398.1071705534892</v>
      </c>
      <c r="AK267" s="98">
        <v>0.3118803418803419</v>
      </c>
      <c r="AL267" s="81"/>
      <c r="AM267" s="98">
        <v>2173.415986328581</v>
      </c>
      <c r="AN267" s="98">
        <v>0.5771999999999999</v>
      </c>
      <c r="AO267" s="81"/>
      <c r="AP267" s="98">
        <v>2089.296130854105</v>
      </c>
      <c r="AQ267" s="98">
        <v>0.48501424501424506</v>
      </c>
      <c r="AR267" s="81"/>
      <c r="AS267" s="98">
        <v>2173.415986328581</v>
      </c>
      <c r="AT267" s="98">
        <v>0.4818</v>
      </c>
      <c r="AU267" s="81"/>
      <c r="AV267" s="98">
        <v>2089.296130854105</v>
      </c>
      <c r="AW267" s="98">
        <v>0.39099715099715093</v>
      </c>
      <c r="AX267" s="81"/>
      <c r="AY267" s="98">
        <v>2089.296130854105</v>
      </c>
      <c r="AZ267" s="98">
        <v>0.28491428571428573</v>
      </c>
      <c r="BA267" s="81"/>
      <c r="BB267" s="98">
        <v>2089.296130854105</v>
      </c>
      <c r="BC267" s="98">
        <v>0.2283760683760684</v>
      </c>
    </row>
    <row r="268" spans="29:55" ht="12">
      <c r="AC268" s="5"/>
      <c r="AD268" s="5"/>
      <c r="AH268" s="98">
        <v>2173.415986328581</v>
      </c>
      <c r="AI268" s="98">
        <v>0.6582857142857143</v>
      </c>
      <c r="AJ268" s="98">
        <v>411.4202978752758</v>
      </c>
      <c r="AK268" s="98">
        <v>0.31695156695156695</v>
      </c>
      <c r="AL268" s="81"/>
      <c r="AM268" s="98">
        <v>2260.9227001715517</v>
      </c>
      <c r="AN268" s="98">
        <v>0.585</v>
      </c>
      <c r="AO268" s="81"/>
      <c r="AP268" s="98">
        <v>2173.415986328581</v>
      </c>
      <c r="AQ268" s="98">
        <v>0.49230769230769234</v>
      </c>
      <c r="AR268" s="81"/>
      <c r="AS268" s="98">
        <v>2260.9227001715517</v>
      </c>
      <c r="AT268" s="98">
        <v>0.48805714285714286</v>
      </c>
      <c r="AU268" s="81"/>
      <c r="AV268" s="98">
        <v>2173.415986328581</v>
      </c>
      <c r="AW268" s="98">
        <v>0.39367521367521363</v>
      </c>
      <c r="AX268" s="81"/>
      <c r="AY268" s="98">
        <v>2173.415986328581</v>
      </c>
      <c r="AZ268" s="98">
        <v>0.28594285714285717</v>
      </c>
      <c r="BA268" s="81"/>
      <c r="BB268" s="98">
        <v>2173.415986328581</v>
      </c>
      <c r="BC268" s="98">
        <v>0.2283760683760684</v>
      </c>
    </row>
    <row r="269" spans="29:55" ht="12">
      <c r="AC269" s="5"/>
      <c r="AD269" s="5"/>
      <c r="AH269" s="98">
        <v>2260.9227001715517</v>
      </c>
      <c r="AI269" s="98">
        <v>0.6685714285714285</v>
      </c>
      <c r="AJ269" s="98">
        <v>425.1786303382803</v>
      </c>
      <c r="AK269" s="98">
        <v>0.3194871794871795</v>
      </c>
      <c r="AL269" s="81"/>
      <c r="AM269" s="98">
        <v>2351.9526350710357</v>
      </c>
      <c r="AN269" s="98">
        <v>0.5953999999999999</v>
      </c>
      <c r="AO269" s="81"/>
      <c r="AP269" s="98">
        <v>2260.9227001715517</v>
      </c>
      <c r="AQ269" s="98">
        <v>0.4977777777777778</v>
      </c>
      <c r="AR269" s="81"/>
      <c r="AS269" s="98">
        <v>2351.9526350710357</v>
      </c>
      <c r="AT269" s="98">
        <v>0.4943142857142857</v>
      </c>
      <c r="AU269" s="81"/>
      <c r="AV269" s="98">
        <v>2260.9227001715517</v>
      </c>
      <c r="AW269" s="98">
        <v>0.3976923076923076</v>
      </c>
      <c r="AX269" s="81"/>
      <c r="AY269" s="98">
        <v>2260.9227001715517</v>
      </c>
      <c r="AZ269" s="98">
        <v>0.2869714285714286</v>
      </c>
      <c r="BA269" s="81"/>
      <c r="BB269" s="98">
        <v>2260.9227001715517</v>
      </c>
      <c r="BC269" s="98">
        <v>0.22905982905982905</v>
      </c>
    </row>
    <row r="270" spans="29:55" ht="12">
      <c r="AC270" s="5"/>
      <c r="AD270" s="5"/>
      <c r="AH270" s="98">
        <v>2351.9526350710357</v>
      </c>
      <c r="AI270" s="98">
        <v>0.6788571428571428</v>
      </c>
      <c r="AJ270" s="98">
        <v>439.39705607607004</v>
      </c>
      <c r="AK270" s="98">
        <v>0.32455840455840457</v>
      </c>
      <c r="AL270" s="81"/>
      <c r="AM270" s="98">
        <v>2446.6476439897137</v>
      </c>
      <c r="AN270" s="98">
        <v>0.6032</v>
      </c>
      <c r="AO270" s="81"/>
      <c r="AP270" s="98">
        <v>2351.9526350710357</v>
      </c>
      <c r="AQ270" s="98">
        <v>0.49960113960113967</v>
      </c>
      <c r="AR270" s="81"/>
      <c r="AS270" s="98">
        <v>2446.6476439897137</v>
      </c>
      <c r="AT270" s="98">
        <v>0.5005714285714286</v>
      </c>
      <c r="AU270" s="81"/>
      <c r="AV270" s="98">
        <v>2351.9526350710357</v>
      </c>
      <c r="AW270" s="98">
        <v>0.39903133903133897</v>
      </c>
      <c r="AX270" s="81"/>
      <c r="AY270" s="98">
        <v>2351.9526350710357</v>
      </c>
      <c r="AZ270" s="98">
        <v>0.28800000000000003</v>
      </c>
      <c r="BA270" s="81"/>
      <c r="BB270" s="98">
        <v>2351.9526350710357</v>
      </c>
      <c r="BC270" s="98">
        <v>0.22905982905982905</v>
      </c>
    </row>
    <row r="271" spans="29:55" ht="12">
      <c r="AC271" s="5"/>
      <c r="AD271" s="5"/>
      <c r="AH271" s="98">
        <v>2446.6476439897137</v>
      </c>
      <c r="AI271" s="98">
        <v>0.6891428571428571</v>
      </c>
      <c r="AJ271" s="98">
        <v>454.09096109723816</v>
      </c>
      <c r="AK271" s="98">
        <v>0.3321652421652422</v>
      </c>
      <c r="AL271" s="81"/>
      <c r="AM271" s="98">
        <v>2545.1552912159814</v>
      </c>
      <c r="AN271" s="98">
        <v>0.611</v>
      </c>
      <c r="AO271" s="81"/>
      <c r="AP271" s="98">
        <v>2446.6476439897137</v>
      </c>
      <c r="AQ271" s="98">
        <v>0.5050712250712251</v>
      </c>
      <c r="AR271" s="81"/>
      <c r="AS271" s="98">
        <v>2545.1552912159814</v>
      </c>
      <c r="AT271" s="98">
        <v>0.5047428571428572</v>
      </c>
      <c r="AU271" s="81"/>
      <c r="AV271" s="98">
        <v>2446.6476439897137</v>
      </c>
      <c r="AW271" s="98">
        <v>0.40170940170940167</v>
      </c>
      <c r="AX271" s="81"/>
      <c r="AY271" s="98">
        <v>2446.6476439897137</v>
      </c>
      <c r="AZ271" s="98">
        <v>0.2890285714285714</v>
      </c>
      <c r="BA271" s="81"/>
      <c r="BB271" s="98">
        <v>2446.6476439897137</v>
      </c>
      <c r="BC271" s="98">
        <v>0.22974358974358974</v>
      </c>
    </row>
    <row r="272" spans="29:55" ht="12">
      <c r="AC272" s="5"/>
      <c r="AD272" s="5"/>
      <c r="AH272" s="98">
        <v>2545.1552912159814</v>
      </c>
      <c r="AI272" s="98">
        <v>0.6994285714285714</v>
      </c>
      <c r="AJ272" s="98">
        <v>469.276245934874</v>
      </c>
      <c r="AK272" s="98">
        <v>0.3372364672364672</v>
      </c>
      <c r="AL272" s="81"/>
      <c r="AM272" s="98">
        <v>2647.6290823150266</v>
      </c>
      <c r="AN272" s="98">
        <v>0.6188</v>
      </c>
      <c r="AO272" s="81"/>
      <c r="AP272" s="98">
        <v>2545.1552912159814</v>
      </c>
      <c r="AQ272" s="98">
        <v>0.5105413105413106</v>
      </c>
      <c r="AR272" s="81"/>
      <c r="AS272" s="98">
        <v>2647.6290823150266</v>
      </c>
      <c r="AT272" s="98">
        <v>0.511</v>
      </c>
      <c r="AU272" s="81"/>
      <c r="AV272" s="98">
        <v>2545.1552912159814</v>
      </c>
      <c r="AW272" s="98">
        <v>0.40438746438746437</v>
      </c>
      <c r="AX272" s="81"/>
      <c r="AY272" s="98">
        <v>2545.1552912159814</v>
      </c>
      <c r="AZ272" s="98">
        <v>0.2910857142857143</v>
      </c>
      <c r="BA272" s="81"/>
      <c r="BB272" s="98">
        <v>2545.1552912159814</v>
      </c>
      <c r="BC272" s="98">
        <v>0.22974358974358974</v>
      </c>
    </row>
    <row r="273" spans="29:55" ht="12">
      <c r="AC273" s="5"/>
      <c r="AD273" s="5"/>
      <c r="AH273" s="98">
        <v>2647.6290823150266</v>
      </c>
      <c r="AI273" s="98">
        <v>0.7097142857142856</v>
      </c>
      <c r="AJ273" s="98">
        <v>484.96934285280963</v>
      </c>
      <c r="AK273" s="98">
        <v>0.3397720797720798</v>
      </c>
      <c r="AL273" s="81"/>
      <c r="AM273" s="98">
        <v>2754.2287033382618</v>
      </c>
      <c r="AN273" s="98">
        <v>0.6265999999999999</v>
      </c>
      <c r="AO273" s="81"/>
      <c r="AP273" s="98">
        <v>2647.6290823150266</v>
      </c>
      <c r="AQ273" s="98">
        <v>0.5178347578347579</v>
      </c>
      <c r="AR273" s="81"/>
      <c r="AS273" s="98">
        <v>2754.2287033382618</v>
      </c>
      <c r="AT273" s="98">
        <v>0.5151714285714286</v>
      </c>
      <c r="AU273" s="81"/>
      <c r="AV273" s="98">
        <v>2647.6290823150266</v>
      </c>
      <c r="AW273" s="98">
        <v>0.407065527065527</v>
      </c>
      <c r="AX273" s="81"/>
      <c r="AY273" s="98">
        <v>2647.6290823150266</v>
      </c>
      <c r="AZ273" s="98">
        <v>0.2921142857142857</v>
      </c>
      <c r="BA273" s="81"/>
      <c r="BB273" s="98">
        <v>2647.6290823150266</v>
      </c>
      <c r="BC273" s="98">
        <v>0.22974358974358974</v>
      </c>
    </row>
    <row r="274" spans="29:55" ht="12">
      <c r="AC274" s="5"/>
      <c r="AD274" s="5"/>
      <c r="AH274" s="98">
        <v>2754.2287033382618</v>
      </c>
      <c r="AI274" s="98">
        <v>0.72</v>
      </c>
      <c r="AJ274" s="98">
        <v>501.1872336272617</v>
      </c>
      <c r="AK274" s="98">
        <v>0.34484330484330483</v>
      </c>
      <c r="AL274" s="81"/>
      <c r="AM274" s="98">
        <v>2865.1202696638816</v>
      </c>
      <c r="AN274" s="98">
        <v>0.6344</v>
      </c>
      <c r="AO274" s="81"/>
      <c r="AP274" s="98">
        <v>2754.2287033382618</v>
      </c>
      <c r="AQ274" s="98">
        <v>0.5233048433048434</v>
      </c>
      <c r="AR274" s="81"/>
      <c r="AS274" s="98">
        <v>2865.1202696638816</v>
      </c>
      <c r="AT274" s="98">
        <v>0.5214285714285715</v>
      </c>
      <c r="AU274" s="81"/>
      <c r="AV274" s="98">
        <v>2754.2287033382618</v>
      </c>
      <c r="AW274" s="98">
        <v>0.4097435897435897</v>
      </c>
      <c r="AX274" s="81"/>
      <c r="AY274" s="98">
        <v>2754.2287033382618</v>
      </c>
      <c r="AZ274" s="98">
        <v>0.29314285714285715</v>
      </c>
      <c r="BA274" s="81"/>
      <c r="BB274" s="98">
        <v>2754.2287033382618</v>
      </c>
      <c r="BC274" s="98">
        <v>0.22974358974358974</v>
      </c>
    </row>
    <row r="275" spans="29:55" ht="12">
      <c r="AC275" s="5"/>
      <c r="AD275" s="5"/>
      <c r="AH275" s="98">
        <v>2865.1202696638816</v>
      </c>
      <c r="AI275" s="98">
        <v>0.7268571428571429</v>
      </c>
      <c r="AJ275" s="98">
        <v>517.9474679231101</v>
      </c>
      <c r="AK275" s="98">
        <v>0.3499145299145299</v>
      </c>
      <c r="AL275" s="81"/>
      <c r="AM275" s="98">
        <v>2980.476584856305</v>
      </c>
      <c r="AN275" s="98">
        <v>0.6396</v>
      </c>
      <c r="AO275" s="81"/>
      <c r="AP275" s="98">
        <v>2865.1202696638816</v>
      </c>
      <c r="AQ275" s="98">
        <v>0.5287749287749288</v>
      </c>
      <c r="AR275" s="81"/>
      <c r="AS275" s="98">
        <v>2980.476584856305</v>
      </c>
      <c r="AT275" s="98">
        <v>0.5256000000000001</v>
      </c>
      <c r="AU275" s="81"/>
      <c r="AV275" s="98">
        <v>2865.1202696638816</v>
      </c>
      <c r="AW275" s="98">
        <v>0.41242165242165235</v>
      </c>
      <c r="AX275" s="81"/>
      <c r="AY275" s="98">
        <v>2865.1202696638816</v>
      </c>
      <c r="AZ275" s="98">
        <v>0.29314285714285715</v>
      </c>
      <c r="BA275" s="81"/>
      <c r="BB275" s="98">
        <v>2865.1202696638816</v>
      </c>
      <c r="BC275" s="98">
        <v>0.23042735042735044</v>
      </c>
    </row>
    <row r="276" spans="29:55" ht="12">
      <c r="AC276" s="5"/>
      <c r="AD276" s="5"/>
      <c r="AH276" s="98">
        <v>2980.476584856305</v>
      </c>
      <c r="AI276" s="98">
        <v>0.7371428571428571</v>
      </c>
      <c r="AJ276" s="98">
        <v>535.2681822846992</v>
      </c>
      <c r="AK276" s="98">
        <v>0.354985754985755</v>
      </c>
      <c r="AL276" s="81"/>
      <c r="AM276" s="98">
        <v>3100.477409947902</v>
      </c>
      <c r="AN276" s="98">
        <v>0.6552</v>
      </c>
      <c r="AO276" s="81"/>
      <c r="AP276" s="98">
        <v>2980.476584856305</v>
      </c>
      <c r="AQ276" s="98">
        <v>0.5324216524216525</v>
      </c>
      <c r="AR276" s="81"/>
      <c r="AS276" s="98">
        <v>3100.477409947902</v>
      </c>
      <c r="AT276" s="98">
        <v>0.5339428571428572</v>
      </c>
      <c r="AU276" s="81"/>
      <c r="AV276" s="98">
        <v>2980.476584856305</v>
      </c>
      <c r="AW276" s="98">
        <v>0.4137606837606837</v>
      </c>
      <c r="AX276" s="81"/>
      <c r="AY276" s="98">
        <v>2980.476584856305</v>
      </c>
      <c r="AZ276" s="98">
        <v>0.2941714285714286</v>
      </c>
      <c r="BA276" s="81"/>
      <c r="BB276" s="98">
        <v>2980.476584856305</v>
      </c>
      <c r="BC276" s="98">
        <v>0.23042735042735044</v>
      </c>
    </row>
    <row r="277" spans="29:55" ht="12">
      <c r="AC277" s="5"/>
      <c r="AD277" s="5"/>
      <c r="AH277" s="98">
        <v>3100.477409947902</v>
      </c>
      <c r="AI277" s="98">
        <v>0.7542857142857142</v>
      </c>
      <c r="AJ277" s="98">
        <v>553.1681197617108</v>
      </c>
      <c r="AK277" s="98">
        <v>0.36005698005698006</v>
      </c>
      <c r="AL277" s="81"/>
      <c r="AM277" s="98">
        <v>3225.309743562608</v>
      </c>
      <c r="AN277" s="98">
        <v>0.6604</v>
      </c>
      <c r="AO277" s="81"/>
      <c r="AP277" s="98">
        <v>3100.477409947902</v>
      </c>
      <c r="AQ277" s="98">
        <v>0.5378917378917379</v>
      </c>
      <c r="AR277" s="81"/>
      <c r="AS277" s="98">
        <v>3225.309743562608</v>
      </c>
      <c r="AT277" s="98">
        <v>0.5381142857142858</v>
      </c>
      <c r="AU277" s="81"/>
      <c r="AV277" s="98">
        <v>3100.477409947902</v>
      </c>
      <c r="AW277" s="98">
        <v>0.4164387464387464</v>
      </c>
      <c r="AX277" s="81"/>
      <c r="AY277" s="98">
        <v>3100.477409947902</v>
      </c>
      <c r="AZ277" s="98">
        <v>0.29622857142857145</v>
      </c>
      <c r="BA277" s="81"/>
      <c r="BB277" s="98">
        <v>3100.477409947902</v>
      </c>
      <c r="BC277" s="98">
        <v>0.23042735042735044</v>
      </c>
    </row>
    <row r="278" spans="29:55" ht="12">
      <c r="AC278" s="5"/>
      <c r="AD278" s="5"/>
      <c r="AH278" s="98">
        <v>3225.309743562608</v>
      </c>
      <c r="AI278" s="98">
        <v>0.7611428571428571</v>
      </c>
      <c r="AJ278" s="98">
        <v>571.6666501913493</v>
      </c>
      <c r="AK278" s="98">
        <v>0.36512820512820515</v>
      </c>
      <c r="AL278" s="81"/>
      <c r="AM278" s="98">
        <v>3355.1681133179736</v>
      </c>
      <c r="AN278" s="98">
        <v>0.6656</v>
      </c>
      <c r="AO278" s="81"/>
      <c r="AP278" s="98">
        <v>3225.309743562608</v>
      </c>
      <c r="AQ278" s="98">
        <v>0.5433618233618234</v>
      </c>
      <c r="AR278" s="81"/>
      <c r="AS278" s="98">
        <v>3355.1681133179736</v>
      </c>
      <c r="AT278" s="98">
        <v>0.5422857142857143</v>
      </c>
      <c r="AU278" s="81"/>
      <c r="AV278" s="98">
        <v>3225.309743562608</v>
      </c>
      <c r="AW278" s="98">
        <v>0.4191168091168091</v>
      </c>
      <c r="AX278" s="81"/>
      <c r="AY278" s="98">
        <v>3225.309743562608</v>
      </c>
      <c r="AZ278" s="98">
        <v>0.2972571428571429</v>
      </c>
      <c r="BA278" s="81"/>
      <c r="BB278" s="98">
        <v>3225.309743562608</v>
      </c>
      <c r="BC278" s="98">
        <v>0.23042735042735044</v>
      </c>
    </row>
    <row r="279" spans="29:55" ht="12">
      <c r="AC279" s="5"/>
      <c r="AD279" s="5"/>
      <c r="AH279" s="98">
        <v>3355.1681133179736</v>
      </c>
      <c r="AI279" s="98">
        <v>0.7714285714285714</v>
      </c>
      <c r="AJ279" s="98">
        <v>590.7837911587817</v>
      </c>
      <c r="AK279" s="98">
        <v>0.3701994301994302</v>
      </c>
      <c r="AL279" s="81"/>
      <c r="AM279" s="98">
        <v>3490.2548789597113</v>
      </c>
      <c r="AN279" s="98">
        <v>0.6786</v>
      </c>
      <c r="AO279" s="81"/>
      <c r="AP279" s="98">
        <v>3355.1681133179736</v>
      </c>
      <c r="AQ279" s="98">
        <v>0.5470085470085471</v>
      </c>
      <c r="AR279" s="81"/>
      <c r="AS279" s="98">
        <v>3490.2548789597113</v>
      </c>
      <c r="AT279" s="98">
        <v>0.5506285714285715</v>
      </c>
      <c r="AU279" s="81"/>
      <c r="AV279" s="98">
        <v>3355.1681133179736</v>
      </c>
      <c r="AW279" s="98">
        <v>0.4204558404558404</v>
      </c>
      <c r="AX279" s="81"/>
      <c r="AY279" s="98">
        <v>3355.1681133179736</v>
      </c>
      <c r="AZ279" s="98">
        <v>0.2982857142857143</v>
      </c>
      <c r="BA279" s="81"/>
      <c r="BB279" s="98">
        <v>3355.1681133179736</v>
      </c>
      <c r="BC279" s="98">
        <v>0.23042735042735044</v>
      </c>
    </row>
    <row r="280" spans="29:55" ht="12">
      <c r="AC280" s="5"/>
      <c r="AD280" s="5"/>
      <c r="AH280" s="98">
        <v>3490.2548789597113</v>
      </c>
      <c r="AI280" s="98">
        <v>0.7851428571428571</v>
      </c>
      <c r="AJ280" s="98">
        <v>610.5402296585196</v>
      </c>
      <c r="AK280" s="98">
        <v>0.3752706552706553</v>
      </c>
      <c r="AL280" s="81"/>
      <c r="AM280" s="98">
        <v>3630.780547701151</v>
      </c>
      <c r="AN280" s="98">
        <v>0.6838</v>
      </c>
      <c r="AO280" s="81"/>
      <c r="AP280" s="98">
        <v>3490.2548789597113</v>
      </c>
      <c r="AQ280" s="98">
        <v>0.5524786324786325</v>
      </c>
      <c r="AR280" s="81"/>
      <c r="AS280" s="98">
        <v>3630.780547701151</v>
      </c>
      <c r="AT280" s="98">
        <v>0.5527142857142857</v>
      </c>
      <c r="AU280" s="81"/>
      <c r="AV280" s="98">
        <v>3490.2548789597113</v>
      </c>
      <c r="AW280" s="98">
        <v>0.4231339031339031</v>
      </c>
      <c r="AX280" s="81"/>
      <c r="AY280" s="98">
        <v>3490.2548789597113</v>
      </c>
      <c r="AZ280" s="98">
        <v>0.2993142857142857</v>
      </c>
      <c r="BA280" s="81"/>
      <c r="BB280" s="98">
        <v>3490.2548789597113</v>
      </c>
      <c r="BC280" s="98">
        <v>0.2311111111111111</v>
      </c>
    </row>
    <row r="281" spans="29:55" ht="12">
      <c r="AC281" s="5"/>
      <c r="AD281" s="5"/>
      <c r="AH281" s="98">
        <v>3630.780547701151</v>
      </c>
      <c r="AI281" s="98">
        <v>0.7919999999999999</v>
      </c>
      <c r="AJ281" s="98">
        <v>630.9573444801795</v>
      </c>
      <c r="AK281" s="98">
        <v>0.3803418803418804</v>
      </c>
      <c r="AL281" s="81"/>
      <c r="AM281" s="98">
        <v>3776.9641022589744</v>
      </c>
      <c r="AN281" s="98">
        <v>0.6941999999999999</v>
      </c>
      <c r="AO281" s="81"/>
      <c r="AP281" s="98">
        <v>3630.780547701151</v>
      </c>
      <c r="AQ281" s="98">
        <v>0.557948717948718</v>
      </c>
      <c r="AR281" s="81"/>
      <c r="AS281" s="98">
        <v>3776.9641022589744</v>
      </c>
      <c r="AT281" s="98">
        <v>0.5610571428571429</v>
      </c>
      <c r="AU281" s="81"/>
      <c r="AV281" s="98">
        <v>3630.780547701151</v>
      </c>
      <c r="AW281" s="98">
        <v>0.42447293447293444</v>
      </c>
      <c r="AX281" s="81"/>
      <c r="AY281" s="98">
        <v>3630.780547701151</v>
      </c>
      <c r="AZ281" s="98">
        <v>0.30034285714285713</v>
      </c>
      <c r="BA281" s="81"/>
      <c r="BB281" s="98">
        <v>3630.780547701151</v>
      </c>
      <c r="BC281" s="98">
        <v>0.2311111111111111</v>
      </c>
    </row>
    <row r="282" spans="29:55" ht="12">
      <c r="AC282" s="5"/>
      <c r="AD282" s="5"/>
      <c r="AH282" s="98">
        <v>3776.9641022589744</v>
      </c>
      <c r="AI282" s="98">
        <v>0.8057142857142857</v>
      </c>
      <c r="AJ282" s="98">
        <v>652.0572293428471</v>
      </c>
      <c r="AK282" s="98">
        <v>0.3854131054131054</v>
      </c>
      <c r="AL282" s="81"/>
      <c r="AM282" s="98">
        <v>3929.0333420964243</v>
      </c>
      <c r="AN282" s="98">
        <v>0.6968</v>
      </c>
      <c r="AO282" s="81"/>
      <c r="AP282" s="98">
        <v>3776.9641022589744</v>
      </c>
      <c r="AQ282" s="98">
        <v>0.5615954415954416</v>
      </c>
      <c r="AR282" s="81"/>
      <c r="AS282" s="98">
        <v>3929.0333420964243</v>
      </c>
      <c r="AT282" s="98">
        <v>0.5631428571428572</v>
      </c>
      <c r="AU282" s="81"/>
      <c r="AV282" s="98">
        <v>3776.9641022589744</v>
      </c>
      <c r="AW282" s="98">
        <v>0.4271509971509971</v>
      </c>
      <c r="AX282" s="81"/>
      <c r="AY282" s="98">
        <v>3776.9641022589744</v>
      </c>
      <c r="AZ282" s="98">
        <v>0.30137142857142857</v>
      </c>
      <c r="BA282" s="81"/>
      <c r="BB282" s="98">
        <v>3776.9641022589744</v>
      </c>
      <c r="BC282" s="98">
        <v>0.2311111111111111</v>
      </c>
    </row>
    <row r="283" spans="29:55" ht="12">
      <c r="AC283" s="5"/>
      <c r="AD283" s="5"/>
      <c r="AH283" s="98">
        <v>3929.0333420964243</v>
      </c>
      <c r="AI283" s="98">
        <v>0.8125714285714285</v>
      </c>
      <c r="AJ283" s="98">
        <v>673.8627168030796</v>
      </c>
      <c r="AK283" s="98">
        <v>0.3904843304843305</v>
      </c>
      <c r="AL283" s="81"/>
      <c r="AM283" s="98">
        <v>4087.2252384057506</v>
      </c>
      <c r="AN283" s="98">
        <v>0.7071999999999999</v>
      </c>
      <c r="AO283" s="81"/>
      <c r="AP283" s="98">
        <v>3929.0333420964243</v>
      </c>
      <c r="AQ283" s="98">
        <v>0.5670655270655272</v>
      </c>
      <c r="AR283" s="81"/>
      <c r="AS283" s="98">
        <v>4087.2252384057506</v>
      </c>
      <c r="AT283" s="98">
        <v>0.5694</v>
      </c>
      <c r="AU283" s="81"/>
      <c r="AV283" s="98">
        <v>3929.0333420964243</v>
      </c>
      <c r="AW283" s="98">
        <v>0.42849002849002843</v>
      </c>
      <c r="AX283" s="81"/>
      <c r="AY283" s="98">
        <v>3929.0333420964243</v>
      </c>
      <c r="AZ283" s="98">
        <v>0.3024</v>
      </c>
      <c r="BA283" s="81"/>
      <c r="BB283" s="98">
        <v>3929.0333420964243</v>
      </c>
      <c r="BC283" s="98">
        <v>0.2311111111111111</v>
      </c>
    </row>
    <row r="284" spans="29:55" ht="12">
      <c r="AC284" s="5"/>
      <c r="AD284" s="5"/>
      <c r="AH284" s="98">
        <v>4087.2252384057506</v>
      </c>
      <c r="AI284" s="98">
        <v>0.8262857142857143</v>
      </c>
      <c r="AJ284" s="98">
        <v>696.3974029624164</v>
      </c>
      <c r="AK284" s="98">
        <v>0.39555555555555555</v>
      </c>
      <c r="AL284" s="81"/>
      <c r="AM284" s="98">
        <v>4251.78630338306</v>
      </c>
      <c r="AN284" s="98">
        <v>0.715</v>
      </c>
      <c r="AO284" s="81"/>
      <c r="AP284" s="98">
        <v>4087.2252384057506</v>
      </c>
      <c r="AQ284" s="98">
        <v>0.5707122507122507</v>
      </c>
      <c r="AR284" s="81"/>
      <c r="AS284" s="98">
        <v>4251.78630338306</v>
      </c>
      <c r="AT284" s="98">
        <v>0.5756571428571429</v>
      </c>
      <c r="AU284" s="81"/>
      <c r="AV284" s="98">
        <v>4087.2252384057506</v>
      </c>
      <c r="AW284" s="98">
        <v>0.4298290598290598</v>
      </c>
      <c r="AX284" s="81"/>
      <c r="AY284" s="98">
        <v>4087.2252384057506</v>
      </c>
      <c r="AZ284" s="98">
        <v>0.30342857142857144</v>
      </c>
      <c r="BA284" s="81"/>
      <c r="BB284" s="98">
        <v>4087.2252384057506</v>
      </c>
      <c r="BC284" s="98">
        <v>0.2317948717948718</v>
      </c>
    </row>
    <row r="285" spans="29:55" ht="12">
      <c r="AC285" s="5"/>
      <c r="AD285" s="5"/>
      <c r="AH285" s="98">
        <v>4251.78630338306</v>
      </c>
      <c r="AI285" s="98">
        <v>0.8365714285714285</v>
      </c>
      <c r="AJ285" s="98">
        <v>719.6856730011359</v>
      </c>
      <c r="AK285" s="98">
        <v>0.40569800569800574</v>
      </c>
      <c r="AL285" s="81"/>
      <c r="AM285" s="98">
        <v>4422.9729743710195</v>
      </c>
      <c r="AN285" s="98">
        <v>0.7228</v>
      </c>
      <c r="AO285" s="81"/>
      <c r="AP285" s="98">
        <v>4251.78630338306</v>
      </c>
      <c r="AQ285" s="98">
        <v>0.5743589743589744</v>
      </c>
      <c r="AR285" s="81"/>
      <c r="AS285" s="98">
        <v>4422.9729743710195</v>
      </c>
      <c r="AT285" s="98">
        <v>0.5798285714285715</v>
      </c>
      <c r="AU285" s="81"/>
      <c r="AV285" s="98">
        <v>4251.78630338306</v>
      </c>
      <c r="AW285" s="98">
        <v>0.4311680911680911</v>
      </c>
      <c r="AX285" s="81"/>
      <c r="AY285" s="98">
        <v>4251.78630338306</v>
      </c>
      <c r="AZ285" s="98">
        <v>0.30445714285714287</v>
      </c>
      <c r="BA285" s="81"/>
      <c r="BB285" s="98">
        <v>4251.78630338306</v>
      </c>
      <c r="BC285" s="98">
        <v>0.2317948717948718</v>
      </c>
    </row>
    <row r="286" spans="29:55" ht="12">
      <c r="AC286" s="5"/>
      <c r="AD286" s="5"/>
      <c r="AH286" s="98">
        <v>4422.9729743710195</v>
      </c>
      <c r="AI286" s="98">
        <v>0.8502857142857142</v>
      </c>
      <c r="AJ286" s="98">
        <v>743.7527275658879</v>
      </c>
      <c r="AK286" s="98">
        <v>0.4107692307692308</v>
      </c>
      <c r="AL286" s="81"/>
      <c r="AM286" s="98">
        <v>4601.052013468032</v>
      </c>
      <c r="AN286" s="98">
        <v>0.7253999999999999</v>
      </c>
      <c r="AO286" s="81"/>
      <c r="AP286" s="98">
        <v>4422.9729743710195</v>
      </c>
      <c r="AQ286" s="98">
        <v>0.5798290598290599</v>
      </c>
      <c r="AR286" s="81"/>
      <c r="AS286" s="98">
        <v>4601.052013468032</v>
      </c>
      <c r="AT286" s="98">
        <v>0.5819142857142857</v>
      </c>
      <c r="AU286" s="81"/>
      <c r="AV286" s="98">
        <v>4422.9729743710195</v>
      </c>
      <c r="AW286" s="98">
        <v>0.4338461538461538</v>
      </c>
      <c r="AX286" s="81"/>
      <c r="AY286" s="98">
        <v>4422.9729743710195</v>
      </c>
      <c r="AZ286" s="98">
        <v>0.3054857142857143</v>
      </c>
      <c r="BA286" s="81"/>
      <c r="BB286" s="98">
        <v>4422.9729743710195</v>
      </c>
      <c r="BC286" s="98">
        <v>0.2317948717948718</v>
      </c>
    </row>
    <row r="287" spans="29:55" ht="12">
      <c r="AC287" s="5"/>
      <c r="AD287" s="5"/>
      <c r="AH287" s="98">
        <v>4601.052013468032</v>
      </c>
      <c r="AI287" s="98">
        <v>0.8537142857142856</v>
      </c>
      <c r="AJ287" s="98">
        <v>768.6246100397565</v>
      </c>
      <c r="AK287" s="98">
        <v>0.4133048433048433</v>
      </c>
      <c r="AL287" s="81"/>
      <c r="AM287" s="98">
        <v>4786.300923226581</v>
      </c>
      <c r="AN287" s="98">
        <v>0.7332</v>
      </c>
      <c r="AO287" s="81"/>
      <c r="AP287" s="98">
        <v>4601.052013468032</v>
      </c>
      <c r="AQ287" s="98">
        <v>0.5834757834757835</v>
      </c>
      <c r="AR287" s="81"/>
      <c r="AS287" s="98">
        <v>4786.300923226581</v>
      </c>
      <c r="AT287" s="98">
        <v>0.5860857142857143</v>
      </c>
      <c r="AU287" s="81"/>
      <c r="AV287" s="98">
        <v>4601.052013468032</v>
      </c>
      <c r="AW287" s="98">
        <v>0.4351851851851851</v>
      </c>
      <c r="AX287" s="81"/>
      <c r="AY287" s="98">
        <v>4601.052013468032</v>
      </c>
      <c r="AZ287" s="98">
        <v>0.3054857142857143</v>
      </c>
      <c r="BA287" s="81"/>
      <c r="BB287" s="98">
        <v>4601.052013468032</v>
      </c>
      <c r="BC287" s="98">
        <v>0.2317948717948718</v>
      </c>
    </row>
    <row r="288" spans="29:55" ht="12">
      <c r="AC288" s="5"/>
      <c r="AD288" s="5"/>
      <c r="AH288" s="98">
        <v>4786.300923226581</v>
      </c>
      <c r="AI288" s="98">
        <v>0.8674285714285714</v>
      </c>
      <c r="AJ288" s="98">
        <v>794.3282347242634</v>
      </c>
      <c r="AK288" s="98">
        <v>0.4234472934472935</v>
      </c>
      <c r="AL288" s="81"/>
      <c r="AM288" s="98">
        <v>4979.00837908856</v>
      </c>
      <c r="AN288" s="98">
        <v>0.7384</v>
      </c>
      <c r="AO288" s="81"/>
      <c r="AP288" s="98">
        <v>4786.300923226581</v>
      </c>
      <c r="AQ288" s="98">
        <v>0.5871225071225071</v>
      </c>
      <c r="AR288" s="81"/>
      <c r="AS288" s="98">
        <v>4979.00837908856</v>
      </c>
      <c r="AT288" s="98">
        <v>0.5923428571428572</v>
      </c>
      <c r="AU288" s="81"/>
      <c r="AV288" s="98">
        <v>4786.300923226581</v>
      </c>
      <c r="AW288" s="98">
        <v>0.43652421652421647</v>
      </c>
      <c r="AX288" s="81"/>
      <c r="AY288" s="98">
        <v>4786.300923226581</v>
      </c>
      <c r="AZ288" s="98">
        <v>0.30651428571428574</v>
      </c>
      <c r="BA288" s="81"/>
      <c r="BB288" s="98">
        <v>4786.300923226581</v>
      </c>
      <c r="BC288" s="98">
        <v>0.2317948717948718</v>
      </c>
    </row>
    <row r="289" spans="29:55" ht="12">
      <c r="AC289" s="5"/>
      <c r="AD289" s="5"/>
      <c r="AH289" s="98">
        <v>4979.00837908856</v>
      </c>
      <c r="AI289" s="98">
        <v>0.8777142857142857</v>
      </c>
      <c r="AJ289" s="98">
        <v>820.8914159638068</v>
      </c>
      <c r="AK289" s="98">
        <v>0.4285185185185185</v>
      </c>
      <c r="AL289" s="81"/>
      <c r="AM289" s="98">
        <v>5179.47467923143</v>
      </c>
      <c r="AN289" s="98">
        <v>0.7435999999999999</v>
      </c>
      <c r="AO289" s="81"/>
      <c r="AP289" s="98">
        <v>4979.00837908856</v>
      </c>
      <c r="AQ289" s="98">
        <v>0.5871225071225071</v>
      </c>
      <c r="AR289" s="81"/>
      <c r="AS289" s="98">
        <v>5179.47467923143</v>
      </c>
      <c r="AT289" s="98">
        <v>0.5965142857142858</v>
      </c>
      <c r="AU289" s="81"/>
      <c r="AV289" s="98">
        <v>4979.00837908856</v>
      </c>
      <c r="AW289" s="98">
        <v>0.43652421652421647</v>
      </c>
      <c r="AX289" s="81"/>
      <c r="AY289" s="98">
        <v>4979.00837908856</v>
      </c>
      <c r="AZ289" s="98">
        <v>0.3075428571428572</v>
      </c>
      <c r="BA289" s="81"/>
      <c r="BB289" s="98">
        <v>4979.00837908856</v>
      </c>
      <c r="BC289" s="98">
        <v>0.2317948717948718</v>
      </c>
    </row>
    <row r="290" spans="29:55" ht="12">
      <c r="AC290" s="5"/>
      <c r="AD290" s="5"/>
      <c r="AH290" s="98">
        <v>5179.47467923143</v>
      </c>
      <c r="AI290" s="98">
        <v>0.8845714285714286</v>
      </c>
      <c r="AJ290" s="98">
        <v>848.3428982440525</v>
      </c>
      <c r="AK290" s="98">
        <v>0.43105413105413104</v>
      </c>
      <c r="AL290" s="81"/>
      <c r="AM290" s="98">
        <v>5388.012212526216</v>
      </c>
      <c r="AN290" s="98">
        <v>0.754</v>
      </c>
      <c r="AO290" s="81"/>
      <c r="AP290" s="98">
        <v>5179.47467923143</v>
      </c>
      <c r="AQ290" s="98">
        <v>0.5871225071225071</v>
      </c>
      <c r="AR290" s="81"/>
      <c r="AS290" s="98">
        <v>5388.012212526216</v>
      </c>
      <c r="AT290" s="98">
        <v>0.6006857142857143</v>
      </c>
      <c r="AU290" s="81"/>
      <c r="AV290" s="98">
        <v>5179.47467923143</v>
      </c>
      <c r="AW290" s="98">
        <v>0.43652421652421647</v>
      </c>
      <c r="AX290" s="81"/>
      <c r="AY290" s="98">
        <v>5179.47467923143</v>
      </c>
      <c r="AZ290" s="98">
        <v>0.3085714285714286</v>
      </c>
      <c r="BA290" s="81"/>
      <c r="BB290" s="98">
        <v>5179.47467923143</v>
      </c>
      <c r="BC290" s="98">
        <v>0.23247863247863249</v>
      </c>
    </row>
    <row r="291" spans="29:55" ht="12">
      <c r="AC291" s="5"/>
      <c r="AD291" s="5"/>
      <c r="AH291" s="98">
        <v>5388.012212526216</v>
      </c>
      <c r="AI291" s="98">
        <v>0.8982857142857142</v>
      </c>
      <c r="AJ291" s="98">
        <v>876.712387296848</v>
      </c>
      <c r="AK291" s="98">
        <v>0.44119658119658123</v>
      </c>
      <c r="AL291" s="81"/>
      <c r="AM291" s="98">
        <v>5604.9459453365735</v>
      </c>
      <c r="AN291" s="98">
        <v>0.7592</v>
      </c>
      <c r="AO291" s="81"/>
      <c r="AP291" s="98">
        <v>5388.012212526216</v>
      </c>
      <c r="AQ291" s="98">
        <v>0.5907692307692308</v>
      </c>
      <c r="AR291" s="81"/>
      <c r="AS291" s="98">
        <v>5604.9459453365735</v>
      </c>
      <c r="AT291" s="98">
        <v>0.6048571428571429</v>
      </c>
      <c r="AU291" s="81"/>
      <c r="AV291" s="98">
        <v>5388.012212526216</v>
      </c>
      <c r="AW291" s="98">
        <v>0.43652421652421647</v>
      </c>
      <c r="AX291" s="81"/>
      <c r="AY291" s="98">
        <v>5388.012212526216</v>
      </c>
      <c r="AZ291" s="98">
        <v>0.3096</v>
      </c>
      <c r="BA291" s="81"/>
      <c r="BB291" s="98">
        <v>5388.012212526216</v>
      </c>
      <c r="BC291" s="98">
        <v>0.23247863247863249</v>
      </c>
    </row>
    <row r="292" spans="29:55" ht="12">
      <c r="AC292" s="5"/>
      <c r="AD292" s="5"/>
      <c r="AH292" s="98">
        <v>5604.9459453365735</v>
      </c>
      <c r="AI292" s="98">
        <v>0.9085714285714285</v>
      </c>
      <c r="AJ292" s="98">
        <v>906.0305822453167</v>
      </c>
      <c r="AK292" s="98">
        <v>0.44373219373219375</v>
      </c>
      <c r="AL292" s="81"/>
      <c r="AM292" s="98">
        <v>5830.613927917491</v>
      </c>
      <c r="AN292" s="98">
        <v>0.7617999999999999</v>
      </c>
      <c r="AO292" s="81"/>
      <c r="AP292" s="98">
        <v>5604.9459453365735</v>
      </c>
      <c r="AQ292" s="98">
        <v>0.5944159544159545</v>
      </c>
      <c r="AR292" s="81"/>
      <c r="AS292" s="98">
        <v>5830.613927917491</v>
      </c>
      <c r="AT292" s="98">
        <v>0.6090285714285715</v>
      </c>
      <c r="AU292" s="81"/>
      <c r="AV292" s="98">
        <v>5604.9459453365735</v>
      </c>
      <c r="AW292" s="98">
        <v>0.43920227920227917</v>
      </c>
      <c r="AX292" s="81"/>
      <c r="AY292" s="98">
        <v>5604.9459453365735</v>
      </c>
      <c r="AZ292" s="98">
        <v>0.3106285714285714</v>
      </c>
      <c r="BA292" s="81"/>
      <c r="BB292" s="98">
        <v>5604.9459453365735</v>
      </c>
      <c r="BC292" s="98">
        <v>0.23247863247863249</v>
      </c>
    </row>
    <row r="293" spans="29:55" ht="12">
      <c r="AC293" s="5"/>
      <c r="AD293" s="5"/>
      <c r="AH293" s="98">
        <v>5830.613927917491</v>
      </c>
      <c r="AI293" s="98">
        <v>0.9154285714285714</v>
      </c>
      <c r="AJ293" s="98">
        <v>936.3292088239197</v>
      </c>
      <c r="AK293" s="98">
        <v>0.45133903133903136</v>
      </c>
      <c r="AL293" s="81"/>
      <c r="AM293" s="98">
        <v>6065.367821202778</v>
      </c>
      <c r="AN293" s="98">
        <v>0.7696</v>
      </c>
      <c r="AO293" s="81"/>
      <c r="AP293" s="98">
        <v>5830.613927917491</v>
      </c>
      <c r="AQ293" s="98">
        <v>0.5962393162393163</v>
      </c>
      <c r="AR293" s="81"/>
      <c r="AS293" s="98">
        <v>6065.367821202778</v>
      </c>
      <c r="AT293" s="98">
        <v>0.6132000000000001</v>
      </c>
      <c r="AU293" s="81"/>
      <c r="AV293" s="98">
        <v>5830.613927917491</v>
      </c>
      <c r="AW293" s="98">
        <v>0.4405413105413105</v>
      </c>
      <c r="AX293" s="81"/>
      <c r="AY293" s="98">
        <v>5830.613927917491</v>
      </c>
      <c r="AZ293" s="98">
        <v>0.3106285714285714</v>
      </c>
      <c r="BA293" s="81"/>
      <c r="BB293" s="98">
        <v>5830.613927917491</v>
      </c>
      <c r="BC293" s="98">
        <v>0.23247863247863249</v>
      </c>
    </row>
    <row r="294" spans="29:55" ht="12">
      <c r="AC294" s="5"/>
      <c r="AD294" s="5"/>
      <c r="AH294" s="98">
        <v>6065.367821202778</v>
      </c>
      <c r="AI294" s="98">
        <v>0.929142857142857</v>
      </c>
      <c r="AJ294" s="98">
        <v>967.6410537094308</v>
      </c>
      <c r="AK294" s="98">
        <v>0.4564102564102564</v>
      </c>
      <c r="AL294" s="81"/>
      <c r="AM294" s="98">
        <v>6309.573444802214</v>
      </c>
      <c r="AN294" s="98">
        <v>0.7747999999999999</v>
      </c>
      <c r="AO294" s="81"/>
      <c r="AP294" s="98">
        <v>6065.367821202778</v>
      </c>
      <c r="AQ294" s="98">
        <v>0.59988603988604</v>
      </c>
      <c r="AR294" s="81"/>
      <c r="AS294" s="98">
        <v>6309.573444802214</v>
      </c>
      <c r="AT294" s="98">
        <v>0.6173714285714286</v>
      </c>
      <c r="AU294" s="81"/>
      <c r="AV294" s="98">
        <v>6065.367821202778</v>
      </c>
      <c r="AW294" s="98">
        <v>0.4418803418803418</v>
      </c>
      <c r="AX294" s="81"/>
      <c r="AY294" s="98">
        <v>6065.367821202778</v>
      </c>
      <c r="AZ294" s="98">
        <v>0.31165714285714285</v>
      </c>
      <c r="BA294" s="81"/>
      <c r="BB294" s="98">
        <v>6065.367821202778</v>
      </c>
      <c r="BC294" s="98">
        <v>0.23247863247863249</v>
      </c>
    </row>
    <row r="295" spans="29:55" ht="12">
      <c r="AC295" s="5"/>
      <c r="AD295" s="5"/>
      <c r="AH295" s="98">
        <v>6309.573444802214</v>
      </c>
      <c r="AI295" s="98">
        <v>0.9359999999999999</v>
      </c>
      <c r="AJ295" s="98">
        <v>999.9999999999765</v>
      </c>
      <c r="AK295" s="98">
        <v>0.464017094017094</v>
      </c>
      <c r="AL295" s="81"/>
      <c r="AM295" s="98">
        <v>6563.61134706233</v>
      </c>
      <c r="AN295" s="98">
        <v>0.7799999999999999</v>
      </c>
      <c r="AO295" s="81"/>
      <c r="AP295" s="98">
        <v>6309.573444802214</v>
      </c>
      <c r="AQ295" s="98">
        <v>0.6017094017094018</v>
      </c>
      <c r="AR295" s="81"/>
      <c r="AS295" s="98">
        <v>6563.61134706233</v>
      </c>
      <c r="AT295" s="98">
        <v>0.6215428571428572</v>
      </c>
      <c r="AU295" s="81"/>
      <c r="AV295" s="98">
        <v>6309.573444802214</v>
      </c>
      <c r="AW295" s="98">
        <v>0.44321937321937316</v>
      </c>
      <c r="AX295" s="81"/>
      <c r="AY295" s="98">
        <v>6309.573444802214</v>
      </c>
      <c r="AZ295" s="98">
        <v>0.3126857142857143</v>
      </c>
      <c r="BA295" s="81"/>
      <c r="BB295" s="98">
        <v>6309.573444802214</v>
      </c>
      <c r="BC295" s="98">
        <v>0.23247863247863249</v>
      </c>
    </row>
    <row r="296" spans="29:55" ht="12">
      <c r="AC296" s="5"/>
      <c r="AD296" s="5"/>
      <c r="AH296" s="98">
        <v>6563.61134706233</v>
      </c>
      <c r="AI296" s="98">
        <v>0.9462857142857143</v>
      </c>
      <c r="AJ296" s="98">
        <v>1033.4410638805318</v>
      </c>
      <c r="AK296" s="98">
        <v>0.4716239316239316</v>
      </c>
      <c r="AL296" s="81"/>
      <c r="AM296" s="98">
        <v>6827.87739807914</v>
      </c>
      <c r="AN296" s="98">
        <v>0.7852</v>
      </c>
      <c r="AO296" s="81"/>
      <c r="AP296" s="98">
        <v>6563.61134706233</v>
      </c>
      <c r="AQ296" s="98">
        <v>0.6053561253561254</v>
      </c>
      <c r="AR296" s="81"/>
      <c r="AS296" s="98">
        <v>6827.87739807914</v>
      </c>
      <c r="AT296" s="98">
        <v>0.6257142857142858</v>
      </c>
      <c r="AU296" s="81"/>
      <c r="AV296" s="98">
        <v>6563.61134706233</v>
      </c>
      <c r="AW296" s="98">
        <v>0.44321937321937316</v>
      </c>
      <c r="AX296" s="81"/>
      <c r="AY296" s="98">
        <v>6563.61134706233</v>
      </c>
      <c r="AZ296" s="98">
        <v>0.3137142857142857</v>
      </c>
      <c r="BA296" s="81"/>
      <c r="BB296" s="98">
        <v>6563.61134706233</v>
      </c>
      <c r="BC296" s="98">
        <v>0.23316239316239315</v>
      </c>
    </row>
    <row r="297" spans="29:55" ht="12">
      <c r="AC297" s="5"/>
      <c r="AD297" s="5"/>
      <c r="AH297" s="98">
        <v>6827.87739807914</v>
      </c>
      <c r="AI297" s="98">
        <v>0.9565714285714285</v>
      </c>
      <c r="AJ297" s="98">
        <v>1068.0004325145503</v>
      </c>
      <c r="AK297" s="98">
        <v>0.47923076923076924</v>
      </c>
      <c r="AL297" s="81"/>
      <c r="AM297" s="98">
        <v>7102.783406586925</v>
      </c>
      <c r="AN297" s="98">
        <v>0.7878</v>
      </c>
      <c r="AO297" s="81"/>
      <c r="AP297" s="98">
        <v>6827.87739807914</v>
      </c>
      <c r="AQ297" s="98">
        <v>0.6071794871794872</v>
      </c>
      <c r="AR297" s="81"/>
      <c r="AS297" s="98">
        <v>7102.783406586925</v>
      </c>
      <c r="AT297" s="98">
        <v>0.6278</v>
      </c>
      <c r="AU297" s="81"/>
      <c r="AV297" s="98">
        <v>6827.87739807914</v>
      </c>
      <c r="AW297" s="98">
        <v>0.4445584045584045</v>
      </c>
      <c r="AX297" s="81"/>
      <c r="AY297" s="98">
        <v>6827.87739807914</v>
      </c>
      <c r="AZ297" s="98">
        <v>0.31474285714285716</v>
      </c>
      <c r="BA297" s="81"/>
      <c r="BB297" s="98">
        <v>6827.87739807914</v>
      </c>
      <c r="BC297" s="98">
        <v>0.23316239316239315</v>
      </c>
    </row>
    <row r="298" spans="29:55" ht="12">
      <c r="AC298" s="5"/>
      <c r="AD298" s="5"/>
      <c r="AH298" s="98">
        <v>7102.783406586925</v>
      </c>
      <c r="AI298" s="98">
        <v>0.9634285714285714</v>
      </c>
      <c r="AJ298" s="98">
        <v>1103.7155032027308</v>
      </c>
      <c r="AK298" s="98">
        <v>0.48430199430199433</v>
      </c>
      <c r="AL298" s="81"/>
      <c r="AM298" s="98">
        <v>7388.757761684374</v>
      </c>
      <c r="AN298" s="98">
        <v>0.7929999999999999</v>
      </c>
      <c r="AO298" s="81"/>
      <c r="AP298" s="98">
        <v>7102.783406586925</v>
      </c>
      <c r="AQ298" s="98">
        <v>0.6090028490028491</v>
      </c>
      <c r="AR298" s="81"/>
      <c r="AS298" s="98">
        <v>7388.757761684374</v>
      </c>
      <c r="AT298" s="98">
        <v>0.6298857142857143</v>
      </c>
      <c r="AU298" s="81"/>
      <c r="AV298" s="98">
        <v>7102.783406586925</v>
      </c>
      <c r="AW298" s="98">
        <v>0.44589743589743586</v>
      </c>
      <c r="AX298" s="81"/>
      <c r="AY298" s="98">
        <v>7102.783406586925</v>
      </c>
      <c r="AZ298" s="98">
        <v>0.31474285714285716</v>
      </c>
      <c r="BA298" s="81"/>
      <c r="BB298" s="98">
        <v>7102.783406586925</v>
      </c>
      <c r="BC298" s="98">
        <v>0.23316239316239315</v>
      </c>
    </row>
    <row r="299" spans="29:55" ht="12">
      <c r="AC299" s="5"/>
      <c r="AD299" s="5"/>
      <c r="AH299" s="98">
        <v>7388.757761684374</v>
      </c>
      <c r="AI299" s="98">
        <v>0.9702857142857142</v>
      </c>
      <c r="AJ299" s="98">
        <v>1140.6249238512935</v>
      </c>
      <c r="AK299" s="98">
        <v>0.48937321937321937</v>
      </c>
      <c r="AL299" s="81"/>
      <c r="AM299" s="98">
        <v>7686.2461003981</v>
      </c>
      <c r="AN299" s="98">
        <v>0.7981999999999999</v>
      </c>
      <c r="AO299" s="81"/>
      <c r="AP299" s="98">
        <v>7388.757761684374</v>
      </c>
      <c r="AQ299" s="98">
        <v>0.6108262108262109</v>
      </c>
      <c r="AR299" s="81"/>
      <c r="AS299" s="98">
        <v>7686.2461003981</v>
      </c>
      <c r="AT299" s="98">
        <v>0.6340571428571429</v>
      </c>
      <c r="AU299" s="81"/>
      <c r="AV299" s="98">
        <v>7388.757761684374</v>
      </c>
      <c r="AW299" s="98">
        <v>0.4472364672364672</v>
      </c>
      <c r="AX299" s="81"/>
      <c r="AY299" s="98">
        <v>7388.757761684374</v>
      </c>
      <c r="AZ299" s="98">
        <v>0.3157714285714286</v>
      </c>
      <c r="BA299" s="81"/>
      <c r="BB299" s="98">
        <v>7388.757761684374</v>
      </c>
      <c r="BC299" s="98">
        <v>0.23316239316239315</v>
      </c>
    </row>
    <row r="300" spans="29:55" ht="12">
      <c r="AC300" s="5"/>
      <c r="AD300" s="5"/>
      <c r="AH300" s="98">
        <v>7686.2461003981</v>
      </c>
      <c r="AI300" s="98">
        <v>0.9805714285714285</v>
      </c>
      <c r="AJ300" s="98">
        <v>1178.768634793559</v>
      </c>
      <c r="AK300" s="98">
        <v>0.49444444444444446</v>
      </c>
      <c r="AL300" s="81"/>
      <c r="AM300" s="98">
        <v>7995.7120021237815</v>
      </c>
      <c r="AN300" s="98">
        <v>0.8034</v>
      </c>
      <c r="AO300" s="81"/>
      <c r="AP300" s="98">
        <v>7686.2461003981</v>
      </c>
      <c r="AQ300" s="98">
        <v>0.6126495726495726</v>
      </c>
      <c r="AR300" s="81"/>
      <c r="AS300" s="98">
        <v>7995.7120021237815</v>
      </c>
      <c r="AT300" s="98">
        <v>0.6382285714285715</v>
      </c>
      <c r="AU300" s="81"/>
      <c r="AV300" s="98">
        <v>7686.2461003981</v>
      </c>
      <c r="AW300" s="98">
        <v>0.4472364672364672</v>
      </c>
      <c r="AX300" s="81"/>
      <c r="AY300" s="98">
        <v>7686.2461003981</v>
      </c>
      <c r="AZ300" s="98">
        <v>0.3168</v>
      </c>
      <c r="BA300" s="81"/>
      <c r="BB300" s="98">
        <v>7686.2461003981</v>
      </c>
      <c r="BC300" s="98">
        <v>0.23316239316239315</v>
      </c>
    </row>
    <row r="301" spans="29:55" ht="12">
      <c r="AC301" s="5"/>
      <c r="AD301" s="5"/>
      <c r="AH301" s="98">
        <v>7995.7120021237815</v>
      </c>
      <c r="AI301" s="98">
        <v>0.9908571428571428</v>
      </c>
      <c r="AJ301" s="98">
        <v>1218.1879120100862</v>
      </c>
      <c r="AK301" s="98">
        <v>0.502051282051282</v>
      </c>
      <c r="AL301" s="81"/>
      <c r="AM301" s="98">
        <v>8317.637711027108</v>
      </c>
      <c r="AN301" s="98">
        <v>0.8059999999999999</v>
      </c>
      <c r="AO301" s="81"/>
      <c r="AP301" s="98">
        <v>7995.7120021237815</v>
      </c>
      <c r="AQ301" s="98">
        <v>0.6162962962962963</v>
      </c>
      <c r="AR301" s="81"/>
      <c r="AS301" s="98">
        <v>8317.637711027108</v>
      </c>
      <c r="AT301" s="98">
        <v>0.6403142857142857</v>
      </c>
      <c r="AU301" s="81"/>
      <c r="AV301" s="98">
        <v>7995.7120021237815</v>
      </c>
      <c r="AW301" s="98">
        <v>0.4485754985754985</v>
      </c>
      <c r="AX301" s="81"/>
      <c r="AY301" s="98">
        <v>7995.7120021237815</v>
      </c>
      <c r="AZ301" s="98">
        <v>0.31782857142857146</v>
      </c>
      <c r="BA301" s="81"/>
      <c r="BB301" s="98">
        <v>7995.7120021237815</v>
      </c>
      <c r="BC301" s="98">
        <v>0.23316239316239315</v>
      </c>
    </row>
    <row r="302" spans="29:55" ht="12">
      <c r="AC302" s="5"/>
      <c r="AD302" s="5"/>
      <c r="AH302" s="98">
        <v>8317.637711027108</v>
      </c>
      <c r="AI302" s="98">
        <v>0.9977142857142857</v>
      </c>
      <c r="AJ302" s="98">
        <v>1258.9254117941366</v>
      </c>
      <c r="AK302" s="98">
        <v>0.5121937321937322</v>
      </c>
      <c r="AL302" s="81"/>
      <c r="AM302" s="98">
        <v>8652.524887530242</v>
      </c>
      <c r="AN302" s="98">
        <v>0.8086</v>
      </c>
      <c r="AO302" s="81"/>
      <c r="AP302" s="98">
        <v>8317.637711027108</v>
      </c>
      <c r="AQ302" s="98">
        <v>0.6181196581196582</v>
      </c>
      <c r="AR302" s="81"/>
      <c r="AS302" s="98">
        <v>8652.524887530242</v>
      </c>
      <c r="AT302" s="98">
        <v>0.6424</v>
      </c>
      <c r="AU302" s="81"/>
      <c r="AV302" s="98">
        <v>8317.637711027108</v>
      </c>
      <c r="AW302" s="98">
        <v>0.44991452991452985</v>
      </c>
      <c r="AX302" s="81"/>
      <c r="AY302" s="98">
        <v>8317.637711027108</v>
      </c>
      <c r="AZ302" s="98">
        <v>0.31782857142857146</v>
      </c>
      <c r="BA302" s="81"/>
      <c r="BB302" s="98">
        <v>8317.637711027108</v>
      </c>
      <c r="BC302" s="98">
        <v>0.23316239316239315</v>
      </c>
    </row>
    <row r="303" spans="29:55" ht="12">
      <c r="AC303" s="5"/>
      <c r="AD303" s="5"/>
      <c r="AH303" s="98">
        <v>8652.524887530242</v>
      </c>
      <c r="AI303" s="98">
        <v>1.0045714285714284</v>
      </c>
      <c r="AJ303" s="98">
        <v>1301.0252169107996</v>
      </c>
      <c r="AK303" s="98">
        <v>0.5172649572649572</v>
      </c>
      <c r="AL303" s="81"/>
      <c r="AM303" s="98">
        <v>9000.895390054844</v>
      </c>
      <c r="AN303" s="98">
        <v>0.8138</v>
      </c>
      <c r="AO303" s="81"/>
      <c r="AP303" s="98">
        <v>8652.524887530242</v>
      </c>
      <c r="AQ303" s="98">
        <v>0.6181196581196582</v>
      </c>
      <c r="AR303" s="81"/>
      <c r="AS303" s="98">
        <v>9000.895390054844</v>
      </c>
      <c r="AT303" s="98">
        <v>0.6465714285714286</v>
      </c>
      <c r="AU303" s="81"/>
      <c r="AV303" s="98">
        <v>8652.524887530242</v>
      </c>
      <c r="AW303" s="98">
        <v>0.44991452991452985</v>
      </c>
      <c r="AX303" s="81"/>
      <c r="AY303" s="98">
        <v>8652.524887530242</v>
      </c>
      <c r="AZ303" s="98">
        <v>0.3188571428571429</v>
      </c>
      <c r="BA303" s="81"/>
      <c r="BB303" s="98">
        <v>8652.524887530242</v>
      </c>
      <c r="BC303" s="98">
        <v>0.23384615384615384</v>
      </c>
    </row>
    <row r="304" spans="29:55" ht="12">
      <c r="AC304" s="5"/>
      <c r="AD304" s="5"/>
      <c r="AH304" s="98">
        <v>9000.895390054844</v>
      </c>
      <c r="AI304" s="98">
        <v>1.0114285714285713</v>
      </c>
      <c r="AJ304" s="98">
        <v>1344.5328842997278</v>
      </c>
      <c r="AK304" s="98">
        <v>0.5248717948717949</v>
      </c>
      <c r="AL304" s="81"/>
      <c r="AM304" s="98">
        <v>9363.292088239876</v>
      </c>
      <c r="AN304" s="98">
        <v>0.8164</v>
      </c>
      <c r="AO304" s="81"/>
      <c r="AP304" s="98">
        <v>9000.895390054844</v>
      </c>
      <c r="AQ304" s="98">
        <v>0.61994301994302</v>
      </c>
      <c r="AR304" s="81"/>
      <c r="AS304" s="98">
        <v>9363.292088239876</v>
      </c>
      <c r="AT304" s="98">
        <v>0.6507428571428572</v>
      </c>
      <c r="AU304" s="81"/>
      <c r="AV304" s="98">
        <v>9000.895390054844</v>
      </c>
      <c r="AW304" s="98">
        <v>0.4512535612535612</v>
      </c>
      <c r="AX304" s="81"/>
      <c r="AY304" s="98">
        <v>9000.895390054844</v>
      </c>
      <c r="AZ304" s="98">
        <v>0.3198857142857143</v>
      </c>
      <c r="BA304" s="81"/>
      <c r="BB304" s="98">
        <v>9000.895390054844</v>
      </c>
      <c r="BC304" s="98">
        <v>0.23384615384615384</v>
      </c>
    </row>
    <row r="305" spans="29:55" ht="12">
      <c r="AC305" s="5"/>
      <c r="AD305" s="5"/>
      <c r="AH305" s="98">
        <v>9363.292088239876</v>
      </c>
      <c r="AI305" s="98">
        <v>1.0182857142857142</v>
      </c>
      <c r="AJ305" s="98">
        <v>1389.4954943731034</v>
      </c>
      <c r="AK305" s="98">
        <v>0.52994301994302</v>
      </c>
      <c r="AL305" s="81"/>
      <c r="AM305" s="98">
        <v>9740.279708901413</v>
      </c>
      <c r="AN305" s="98">
        <v>0.819</v>
      </c>
      <c r="AO305" s="81"/>
      <c r="AP305" s="98">
        <v>9363.292088239876</v>
      </c>
      <c r="AQ305" s="98">
        <v>0.6217663817663818</v>
      </c>
      <c r="AR305" s="81"/>
      <c r="AS305" s="98">
        <v>9740.279708901413</v>
      </c>
      <c r="AT305" s="98">
        <v>0.6528285714285714</v>
      </c>
      <c r="AU305" s="81"/>
      <c r="AV305" s="98">
        <v>9363.292088239876</v>
      </c>
      <c r="AW305" s="98">
        <v>0.45259259259259255</v>
      </c>
      <c r="AX305" s="81"/>
      <c r="AY305" s="98">
        <v>9363.292088239876</v>
      </c>
      <c r="AZ305" s="98">
        <v>0.3209142857142857</v>
      </c>
      <c r="BA305" s="81"/>
      <c r="BB305" s="98">
        <v>9363.292088239876</v>
      </c>
      <c r="BC305" s="98">
        <v>0.23384615384615384</v>
      </c>
    </row>
    <row r="306" spans="29:55" ht="12">
      <c r="AC306" s="5"/>
      <c r="AD306" s="5"/>
      <c r="AH306" s="98">
        <v>9740.279708901413</v>
      </c>
      <c r="AI306" s="98">
        <v>1.0251428571428571</v>
      </c>
      <c r="AJ306" s="98">
        <v>1435.9617019621792</v>
      </c>
      <c r="AK306" s="98">
        <v>0.5400854700854701</v>
      </c>
      <c r="AL306" s="81"/>
      <c r="AM306" s="98">
        <v>10132.445716052734</v>
      </c>
      <c r="AN306" s="98">
        <v>0.819</v>
      </c>
      <c r="AO306" s="81"/>
      <c r="AP306" s="98">
        <v>9740.279708901413</v>
      </c>
      <c r="AQ306" s="98">
        <v>0.6235897435897436</v>
      </c>
      <c r="AR306" s="81"/>
      <c r="AS306" s="98">
        <v>10132.445716052734</v>
      </c>
      <c r="AT306" s="98">
        <v>0.6528285714285714</v>
      </c>
      <c r="AU306" s="81"/>
      <c r="AV306" s="98">
        <v>9740.279708901413</v>
      </c>
      <c r="AW306" s="98">
        <v>0.45259259259259255</v>
      </c>
      <c r="AX306" s="81"/>
      <c r="AY306" s="98">
        <v>9740.279708901413</v>
      </c>
      <c r="AZ306" s="98">
        <v>0.3209142857142857</v>
      </c>
      <c r="BA306" s="81"/>
      <c r="BB306" s="98">
        <v>9740.279708901413</v>
      </c>
      <c r="BC306" s="98">
        <v>0.23384615384615384</v>
      </c>
    </row>
    <row r="307" spans="29:55" ht="12">
      <c r="AC307" s="5"/>
      <c r="AD307" s="5"/>
      <c r="AH307" s="98">
        <v>10132.445716052734</v>
      </c>
      <c r="AI307" s="98">
        <v>1.0251428571428571</v>
      </c>
      <c r="AJ307" s="98">
        <v>1483.9817889675282</v>
      </c>
      <c r="AK307" s="98">
        <v>0.5451566951566952</v>
      </c>
      <c r="AL307" s="81"/>
      <c r="AM307" s="98">
        <v>10540.40122635604</v>
      </c>
      <c r="AN307" s="98">
        <v>0.8216</v>
      </c>
      <c r="AO307" s="81"/>
      <c r="AP307" s="98">
        <v>10132.445716052734</v>
      </c>
      <c r="AQ307" s="98">
        <v>0.6254131054131055</v>
      </c>
      <c r="AR307" s="81"/>
      <c r="AS307" s="98">
        <v>10540.40122635604</v>
      </c>
      <c r="AT307" s="98">
        <v>0.6528285714285714</v>
      </c>
      <c r="AU307" s="81"/>
      <c r="AV307" s="98">
        <v>10132.445716052734</v>
      </c>
      <c r="AW307" s="98">
        <v>0.4539316239316239</v>
      </c>
      <c r="AX307" s="81"/>
      <c r="AY307" s="98">
        <v>10132.445716052734</v>
      </c>
      <c r="AZ307" s="98">
        <v>0.3209142857142857</v>
      </c>
      <c r="BA307" s="81"/>
      <c r="BB307" s="98">
        <v>10132.445716052734</v>
      </c>
      <c r="BC307" s="98">
        <v>0.23384615384615384</v>
      </c>
    </row>
    <row r="308" spans="29:55" ht="12">
      <c r="AC308" s="5"/>
      <c r="AD308" s="5"/>
      <c r="AH308" s="98">
        <v>10540.40122635604</v>
      </c>
      <c r="AI308" s="98">
        <v>1.0285714285714285</v>
      </c>
      <c r="AJ308" s="98">
        <v>1533.6077187699732</v>
      </c>
      <c r="AK308" s="98">
        <v>0.5552991452991454</v>
      </c>
      <c r="AL308" s="81"/>
      <c r="AM308" s="98">
        <v>10964.781961432389</v>
      </c>
      <c r="AN308" s="98">
        <v>0.8216</v>
      </c>
      <c r="AO308" s="81"/>
      <c r="AP308" s="98">
        <v>10540.40122635604</v>
      </c>
      <c r="AQ308" s="98">
        <v>0.6254131054131055</v>
      </c>
      <c r="AR308" s="81"/>
      <c r="AS308" s="98">
        <v>10964.781961432389</v>
      </c>
      <c r="AT308" s="98">
        <v>0.6528285714285714</v>
      </c>
      <c r="AU308" s="81"/>
      <c r="AV308" s="98">
        <v>10540.40122635604</v>
      </c>
      <c r="AW308" s="98">
        <v>0.4539316239316239</v>
      </c>
      <c r="AX308" s="81"/>
      <c r="AY308" s="98">
        <v>10540.40122635604</v>
      </c>
      <c r="AZ308" s="98">
        <v>0.3209142857142857</v>
      </c>
      <c r="BA308" s="81"/>
      <c r="BB308" s="98">
        <v>10540.40122635604</v>
      </c>
      <c r="BC308" s="98">
        <v>0.23384615384615384</v>
      </c>
    </row>
    <row r="309" spans="29:55" ht="12">
      <c r="AC309" s="5"/>
      <c r="AD309" s="5"/>
      <c r="AH309" s="98">
        <v>10964.781961432389</v>
      </c>
      <c r="AI309" s="98">
        <v>1.032</v>
      </c>
      <c r="AJ309" s="98">
        <v>1584.8931924610736</v>
      </c>
      <c r="AK309" s="98">
        <v>0.5603703703703704</v>
      </c>
      <c r="AL309" s="81"/>
      <c r="AM309" s="98">
        <v>11406.249238513763</v>
      </c>
      <c r="AN309" s="98">
        <v>0.8268</v>
      </c>
      <c r="AO309" s="81"/>
      <c r="AP309" s="98">
        <v>10964.781961432389</v>
      </c>
      <c r="AQ309" s="98">
        <v>0.6272364672364673</v>
      </c>
      <c r="AR309" s="81"/>
      <c r="AS309" s="98">
        <v>11406.249238513763</v>
      </c>
      <c r="AT309" s="98">
        <v>0.657</v>
      </c>
      <c r="AU309" s="81"/>
      <c r="AV309" s="98">
        <v>10964.781961432389</v>
      </c>
      <c r="AW309" s="98">
        <v>0.45527065527065524</v>
      </c>
      <c r="AX309" s="81"/>
      <c r="AY309" s="98">
        <v>10964.781961432389</v>
      </c>
      <c r="AZ309" s="98">
        <v>0.3209142857142857</v>
      </c>
      <c r="BA309" s="81"/>
      <c r="BB309" s="98">
        <v>10964.781961432389</v>
      </c>
      <c r="BC309" s="98">
        <v>0.23384615384615384</v>
      </c>
    </row>
    <row r="310" spans="29:55" ht="12">
      <c r="AC310" s="5"/>
      <c r="AD310" s="5"/>
      <c r="AH310" s="98">
        <v>11406.249238513763</v>
      </c>
      <c r="AI310" s="98">
        <v>1.0388571428571427</v>
      </c>
      <c r="AJ310" s="98">
        <v>1637.8937069540227</v>
      </c>
      <c r="AK310" s="98">
        <v>0.567977207977208</v>
      </c>
      <c r="AL310" s="81"/>
      <c r="AM310" s="98">
        <v>11865.491000981088</v>
      </c>
      <c r="AN310" s="98">
        <v>0.8293999999999999</v>
      </c>
      <c r="AO310" s="81"/>
      <c r="AP310" s="98">
        <v>11406.249238513763</v>
      </c>
      <c r="AQ310" s="98">
        <v>0.6290598290598292</v>
      </c>
      <c r="AR310" s="81"/>
      <c r="AS310" s="98">
        <v>11865.491000981088</v>
      </c>
      <c r="AT310" s="98">
        <v>0.6590857142857143</v>
      </c>
      <c r="AU310" s="81"/>
      <c r="AV310" s="98">
        <v>11406.249238513763</v>
      </c>
      <c r="AW310" s="98">
        <v>0.45527065527065524</v>
      </c>
      <c r="AX310" s="81"/>
      <c r="AY310" s="98">
        <v>11406.249238513763</v>
      </c>
      <c r="AZ310" s="98">
        <v>0.32194285714285714</v>
      </c>
      <c r="BA310" s="81"/>
      <c r="BB310" s="98">
        <v>11406.249238513763</v>
      </c>
      <c r="BC310" s="98">
        <v>0.23384615384615384</v>
      </c>
    </row>
    <row r="311" spans="29:55" ht="12">
      <c r="AC311" s="5"/>
      <c r="AD311" s="5"/>
      <c r="AH311" s="98">
        <v>11865.491000981088</v>
      </c>
      <c r="AI311" s="98">
        <v>1.0457142857142856</v>
      </c>
      <c r="AJ311" s="98">
        <v>1692.6666150378328</v>
      </c>
      <c r="AK311" s="98">
        <v>0.5755840455840456</v>
      </c>
      <c r="AL311" s="81"/>
      <c r="AM311" s="98">
        <v>12343.222890394089</v>
      </c>
      <c r="AN311" s="98">
        <v>0.832</v>
      </c>
      <c r="AO311" s="81"/>
      <c r="AP311" s="98">
        <v>11865.491000981088</v>
      </c>
      <c r="AQ311" s="98">
        <v>0.6290598290598292</v>
      </c>
      <c r="AR311" s="81"/>
      <c r="AS311" s="98">
        <v>12343.222890394089</v>
      </c>
      <c r="AT311" s="98">
        <v>0.6632571428571429</v>
      </c>
      <c r="AU311" s="81"/>
      <c r="AV311" s="98">
        <v>11865.491000981088</v>
      </c>
      <c r="AW311" s="98">
        <v>0.45660968660968654</v>
      </c>
      <c r="AX311" s="81"/>
      <c r="AY311" s="98">
        <v>11865.491000981088</v>
      </c>
      <c r="AZ311" s="98">
        <v>0.3229714285714286</v>
      </c>
      <c r="BA311" s="81"/>
      <c r="BB311" s="98">
        <v>11865.491000981088</v>
      </c>
      <c r="BC311" s="98">
        <v>0.23384615384615384</v>
      </c>
    </row>
    <row r="312" spans="29:55" ht="12">
      <c r="AC312" s="5"/>
      <c r="AD312" s="5"/>
      <c r="AH312" s="98">
        <v>12343.222890394089</v>
      </c>
      <c r="AI312" s="98">
        <v>1.0525714285714285</v>
      </c>
      <c r="AJ312" s="98">
        <v>1749.2711874397976</v>
      </c>
      <c r="AK312" s="98">
        <v>0.5831908831908832</v>
      </c>
      <c r="AL312" s="81"/>
      <c r="AM312" s="98">
        <v>12840.189361683491</v>
      </c>
      <c r="AN312" s="98">
        <v>0.8346</v>
      </c>
      <c r="AO312" s="81"/>
      <c r="AP312" s="98">
        <v>12343.222890394089</v>
      </c>
      <c r="AQ312" s="98">
        <v>0.6308831908831909</v>
      </c>
      <c r="AR312" s="81"/>
      <c r="AS312" s="98">
        <v>12840.189361683491</v>
      </c>
      <c r="AT312" s="98">
        <v>0.6653428571428571</v>
      </c>
      <c r="AU312" s="81"/>
      <c r="AV312" s="98">
        <v>12343.222890394089</v>
      </c>
      <c r="AW312" s="98">
        <v>0.45660968660968654</v>
      </c>
      <c r="AX312" s="81"/>
      <c r="AY312" s="98">
        <v>12343.222890394089</v>
      </c>
      <c r="AZ312" s="98">
        <v>0.324</v>
      </c>
      <c r="BA312" s="81"/>
      <c r="BB312" s="98">
        <v>12343.222890394089</v>
      </c>
      <c r="BC312" s="98">
        <v>0.23384615384615384</v>
      </c>
    </row>
    <row r="313" spans="29:55" ht="12">
      <c r="AC313" s="5"/>
      <c r="AD313" s="5"/>
      <c r="AH313" s="98">
        <v>12840.189361683491</v>
      </c>
      <c r="AI313" s="98">
        <v>1.056</v>
      </c>
      <c r="AJ313" s="98">
        <v>1807.768676963388</v>
      </c>
      <c r="AK313" s="98">
        <v>0.5907977207977209</v>
      </c>
      <c r="AL313" s="81"/>
      <c r="AM313" s="98">
        <v>13357.164843243467</v>
      </c>
      <c r="AN313" s="98">
        <v>0.8371999999999999</v>
      </c>
      <c r="AO313" s="81"/>
      <c r="AP313" s="98">
        <v>12840.189361683491</v>
      </c>
      <c r="AQ313" s="98">
        <v>0.6308831908831909</v>
      </c>
      <c r="AR313" s="81"/>
      <c r="AS313" s="98">
        <v>13357.164843243467</v>
      </c>
      <c r="AT313" s="98">
        <v>0.6674285714285715</v>
      </c>
      <c r="AU313" s="81"/>
      <c r="AV313" s="98">
        <v>12840.189361683491</v>
      </c>
      <c r="AW313" s="98">
        <v>0.45660968660968654</v>
      </c>
      <c r="AX313" s="81"/>
      <c r="AY313" s="98">
        <v>12840.189361683491</v>
      </c>
      <c r="AZ313" s="98">
        <v>0.32502857142857144</v>
      </c>
      <c r="BA313" s="81"/>
      <c r="BB313" s="98">
        <v>12840.189361683491</v>
      </c>
      <c r="BC313" s="98">
        <v>0.23452991452991453</v>
      </c>
    </row>
    <row r="314" spans="29:55" ht="12">
      <c r="AC314" s="5"/>
      <c r="AD314" s="5"/>
      <c r="AH314" s="98">
        <v>13357.164843243467</v>
      </c>
      <c r="AI314" s="98">
        <v>1.0628571428571427</v>
      </c>
      <c r="AJ314" s="98">
        <v>1868.2223847709888</v>
      </c>
      <c r="AK314" s="98">
        <v>0.5984045584045584</v>
      </c>
      <c r="AL314" s="81"/>
      <c r="AM314" s="98">
        <v>13894.954943732013</v>
      </c>
      <c r="AN314" s="98">
        <v>0.8423999999999999</v>
      </c>
      <c r="AO314" s="81"/>
      <c r="AP314" s="98">
        <v>13357.164843243467</v>
      </c>
      <c r="AQ314" s="98">
        <v>0.6327065527065527</v>
      </c>
      <c r="AR314" s="81"/>
      <c r="AS314" s="98">
        <v>13894.954943732013</v>
      </c>
      <c r="AT314" s="98">
        <v>0.6716</v>
      </c>
      <c r="AU314" s="81"/>
      <c r="AV314" s="98">
        <v>13357.164843243467</v>
      </c>
      <c r="AW314" s="98">
        <v>0.4579487179487179</v>
      </c>
      <c r="AX314" s="81"/>
      <c r="AY314" s="98">
        <v>13357.164843243467</v>
      </c>
      <c r="AZ314" s="98">
        <v>0.32502857142857144</v>
      </c>
      <c r="BA314" s="81"/>
      <c r="BB314" s="98">
        <v>13357.164843243467</v>
      </c>
      <c r="BC314" s="98">
        <v>0.23452991452991453</v>
      </c>
    </row>
    <row r="315" spans="29:55" ht="12">
      <c r="AC315" s="5"/>
      <c r="AD315" s="5"/>
      <c r="AH315" s="98">
        <v>13894.954943732013</v>
      </c>
      <c r="AI315" s="98">
        <v>1.0697142857142856</v>
      </c>
      <c r="AJ315" s="98">
        <v>1930.6977288832002</v>
      </c>
      <c r="AK315" s="98">
        <v>0.606011396011396</v>
      </c>
      <c r="AL315" s="81"/>
      <c r="AM315" s="98">
        <v>14454.39770745993</v>
      </c>
      <c r="AN315" s="98">
        <v>0.845</v>
      </c>
      <c r="AO315" s="81"/>
      <c r="AP315" s="98">
        <v>13894.954943732013</v>
      </c>
      <c r="AQ315" s="98">
        <v>0.6327065527065527</v>
      </c>
      <c r="AR315" s="81"/>
      <c r="AS315" s="98">
        <v>14454.39770745993</v>
      </c>
      <c r="AT315" s="98">
        <v>0.6736857142857143</v>
      </c>
      <c r="AU315" s="81"/>
      <c r="AV315" s="98">
        <v>13894.954943732013</v>
      </c>
      <c r="AW315" s="98">
        <v>0.4579487179487179</v>
      </c>
      <c r="AX315" s="81"/>
      <c r="AY315" s="98">
        <v>13894.954943732013</v>
      </c>
      <c r="AZ315" s="98">
        <v>0.3270857142857143</v>
      </c>
      <c r="BA315" s="81"/>
      <c r="BB315" s="98">
        <v>13894.954943732013</v>
      </c>
      <c r="BC315" s="98">
        <v>0.23452991452991453</v>
      </c>
    </row>
    <row r="316" spans="29:55" ht="12">
      <c r="AC316" s="5"/>
      <c r="AD316" s="5"/>
      <c r="AH316" s="98">
        <v>14454.39770745993</v>
      </c>
      <c r="AI316" s="98">
        <v>1.0765714285714285</v>
      </c>
      <c r="AJ316" s="98">
        <v>1995.2623149688277</v>
      </c>
      <c r="AK316" s="98">
        <v>0.6085470085470086</v>
      </c>
      <c r="AL316" s="81"/>
      <c r="AM316" s="98">
        <v>15036.364920324597</v>
      </c>
      <c r="AN316" s="98">
        <v>0.8475999999999999</v>
      </c>
      <c r="AO316" s="81"/>
      <c r="AP316" s="98">
        <v>14454.39770745993</v>
      </c>
      <c r="AQ316" s="98">
        <v>0.6345299145299146</v>
      </c>
      <c r="AR316" s="81"/>
      <c r="AS316" s="98">
        <v>15036.364920324597</v>
      </c>
      <c r="AT316" s="98">
        <v>0.6757714285714286</v>
      </c>
      <c r="AU316" s="81"/>
      <c r="AV316" s="98">
        <v>14454.39770745993</v>
      </c>
      <c r="AW316" s="98">
        <v>0.45928774928774924</v>
      </c>
      <c r="AX316" s="81"/>
      <c r="AY316" s="98">
        <v>14454.39770745993</v>
      </c>
      <c r="AZ316" s="98">
        <v>0.32811428571428575</v>
      </c>
      <c r="BA316" s="81"/>
      <c r="BB316" s="98">
        <v>14454.39770745993</v>
      </c>
      <c r="BC316" s="98">
        <v>0.23452991452991453</v>
      </c>
    </row>
    <row r="317" spans="29:55" ht="12">
      <c r="AC317" s="5"/>
      <c r="AD317" s="5"/>
      <c r="AH317" s="98">
        <v>15036.364920324597</v>
      </c>
      <c r="AI317" s="98">
        <v>1.0799999999999998</v>
      </c>
      <c r="AJ317" s="98">
        <v>2061.9860095021663</v>
      </c>
      <c r="AK317" s="98">
        <v>0.6085470085470086</v>
      </c>
      <c r="AL317" s="81"/>
      <c r="AM317" s="98">
        <v>15641.763468323668</v>
      </c>
      <c r="AN317" s="98">
        <v>0.8502</v>
      </c>
      <c r="AO317" s="81"/>
      <c r="AP317" s="98">
        <v>15036.364920324597</v>
      </c>
      <c r="AQ317" s="98">
        <v>0.6345299145299146</v>
      </c>
      <c r="AR317" s="81"/>
      <c r="AS317" s="98">
        <v>15641.763468323668</v>
      </c>
      <c r="AT317" s="98">
        <v>0.6778571428571429</v>
      </c>
      <c r="AU317" s="81"/>
      <c r="AV317" s="98">
        <v>15036.364920324597</v>
      </c>
      <c r="AW317" s="98">
        <v>0.45928774928774924</v>
      </c>
      <c r="AX317" s="81"/>
      <c r="AY317" s="98">
        <v>15036.364920324597</v>
      </c>
      <c r="AZ317" s="98">
        <v>0.32811428571428575</v>
      </c>
      <c r="BA317" s="81"/>
      <c r="BB317" s="98">
        <v>15036.364920324597</v>
      </c>
      <c r="BC317" s="98">
        <v>0.23452991452991453</v>
      </c>
    </row>
    <row r="318" spans="29:55" ht="12">
      <c r="AC318" s="5"/>
      <c r="AD318" s="5"/>
      <c r="AH318" s="98">
        <v>15641.763468323668</v>
      </c>
      <c r="AI318" s="98">
        <v>1.0834285714285714</v>
      </c>
      <c r="AJ318" s="98">
        <v>2130.9410153667413</v>
      </c>
      <c r="AK318" s="98">
        <v>0.6136182336182336</v>
      </c>
      <c r="AL318" s="81"/>
      <c r="AM318" s="98">
        <v>16271.536750765636</v>
      </c>
      <c r="AN318" s="98">
        <v>0.8502</v>
      </c>
      <c r="AO318" s="81"/>
      <c r="AP318" s="98">
        <v>15641.763468323668</v>
      </c>
      <c r="AQ318" s="98">
        <v>0.6345299145299146</v>
      </c>
      <c r="AR318" s="81"/>
      <c r="AS318" s="98">
        <v>16271.536750765636</v>
      </c>
      <c r="AT318" s="98">
        <v>0.6778571428571429</v>
      </c>
      <c r="AU318" s="81"/>
      <c r="AV318" s="98">
        <v>15641.763468323668</v>
      </c>
      <c r="AW318" s="98">
        <v>0.45928774928774924</v>
      </c>
      <c r="AX318" s="81"/>
      <c r="AY318" s="98">
        <v>15641.763468323668</v>
      </c>
      <c r="AZ318" s="98">
        <v>0.3291428571428572</v>
      </c>
      <c r="BA318" s="81"/>
      <c r="BB318" s="98">
        <v>15641.763468323668</v>
      </c>
      <c r="BC318" s="98">
        <v>0.23452991452991453</v>
      </c>
    </row>
    <row r="319" spans="29:55" ht="12">
      <c r="AC319" s="5"/>
      <c r="AD319" s="5"/>
      <c r="AH319" s="98">
        <v>16271.536750765636</v>
      </c>
      <c r="AI319" s="98">
        <v>1.0868571428571427</v>
      </c>
      <c r="AJ319" s="98">
        <v>2202.201949987317</v>
      </c>
      <c r="AK319" s="98">
        <v>0.6212250712250712</v>
      </c>
      <c r="AL319" s="81"/>
      <c r="AM319" s="98">
        <v>16926.66615037949</v>
      </c>
      <c r="AN319" s="98">
        <v>0.8553999999999999</v>
      </c>
      <c r="AO319" s="81"/>
      <c r="AP319" s="98">
        <v>16271.536750765636</v>
      </c>
      <c r="AQ319" s="98">
        <v>0.6345299145299146</v>
      </c>
      <c r="AR319" s="81"/>
      <c r="AS319" s="98">
        <v>16926.66615037949</v>
      </c>
      <c r="AT319" s="98">
        <v>0.6820285714285714</v>
      </c>
      <c r="AU319" s="81"/>
      <c r="AV319" s="98">
        <v>16271.536750765636</v>
      </c>
      <c r="AW319" s="98">
        <v>0.4606267806267806</v>
      </c>
      <c r="AX319" s="81"/>
      <c r="AY319" s="98">
        <v>16271.536750765636</v>
      </c>
      <c r="AZ319" s="98">
        <v>0.3291428571428572</v>
      </c>
      <c r="BA319" s="81"/>
      <c r="BB319" s="98">
        <v>16271.536750765636</v>
      </c>
      <c r="BC319" s="98">
        <v>0.23452991452991453</v>
      </c>
    </row>
    <row r="320" spans="29:55" ht="12">
      <c r="AC320" s="5"/>
      <c r="AD320" s="5"/>
      <c r="AH320" s="98">
        <v>16926.66615037949</v>
      </c>
      <c r="AI320" s="98">
        <v>1.0937142857142856</v>
      </c>
      <c r="AJ320" s="98">
        <v>2275.845926074728</v>
      </c>
      <c r="AK320" s="98">
        <v>0.6288319088319089</v>
      </c>
      <c r="AL320" s="81"/>
      <c r="AM320" s="98">
        <v>17608.172562614367</v>
      </c>
      <c r="AN320" s="98">
        <v>0.858</v>
      </c>
      <c r="AO320" s="81"/>
      <c r="AP320" s="98">
        <v>16926.66615037949</v>
      </c>
      <c r="AQ320" s="98">
        <v>0.6363532763532764</v>
      </c>
      <c r="AR320" s="81"/>
      <c r="AS320" s="98">
        <v>17608.172562614367</v>
      </c>
      <c r="AT320" s="98">
        <v>0.6841142857142858</v>
      </c>
      <c r="AU320" s="81"/>
      <c r="AV320" s="98">
        <v>16926.66615037949</v>
      </c>
      <c r="AW320" s="98">
        <v>0.4606267806267806</v>
      </c>
      <c r="AX320" s="81"/>
      <c r="AY320" s="98">
        <v>16926.66615037949</v>
      </c>
      <c r="AZ320" s="98">
        <v>0.33017142857142856</v>
      </c>
      <c r="BA320" s="81"/>
      <c r="BB320" s="98">
        <v>16926.66615037949</v>
      </c>
      <c r="BC320" s="98">
        <v>0.2352136752136752</v>
      </c>
    </row>
    <row r="321" spans="29:55" ht="12">
      <c r="AC321" s="5"/>
      <c r="AD321" s="5"/>
      <c r="AH321" s="98">
        <v>17608.172562614367</v>
      </c>
      <c r="AI321" s="98">
        <v>1.097142857142857</v>
      </c>
      <c r="AJ321" s="98">
        <v>2351.9526350708966</v>
      </c>
      <c r="AK321" s="98">
        <v>0.6364387464387464</v>
      </c>
      <c r="AL321" s="81"/>
      <c r="AM321" s="98">
        <v>18317.11798651232</v>
      </c>
      <c r="AN321" s="98">
        <v>0.8605999999999999</v>
      </c>
      <c r="AO321" s="81"/>
      <c r="AP321" s="98">
        <v>17608.172562614367</v>
      </c>
      <c r="AQ321" s="98">
        <v>0.6363532763532764</v>
      </c>
      <c r="AR321" s="81"/>
      <c r="AS321" s="98">
        <v>18317.11798651232</v>
      </c>
      <c r="AT321" s="98">
        <v>0.6862</v>
      </c>
      <c r="AU321" s="81"/>
      <c r="AV321" s="98">
        <v>17608.172562614367</v>
      </c>
      <c r="AW321" s="98">
        <v>0.4606267806267806</v>
      </c>
      <c r="AX321" s="81"/>
      <c r="AY321" s="98">
        <v>17608.172562614367</v>
      </c>
      <c r="AZ321" s="98">
        <v>0.3312</v>
      </c>
      <c r="BA321" s="81"/>
      <c r="BB321" s="98">
        <v>17608.172562614367</v>
      </c>
      <c r="BC321" s="98">
        <v>0.2352136752136752</v>
      </c>
    </row>
    <row r="322" spans="29:55" ht="12">
      <c r="AC322" s="5"/>
      <c r="AD322" s="5"/>
      <c r="AH322" s="81"/>
      <c r="AI322" s="81"/>
      <c r="AJ322" s="98">
        <v>2430.6044333843442</v>
      </c>
      <c r="AK322" s="98">
        <v>0.6440455840455841</v>
      </c>
      <c r="AL322" s="81"/>
      <c r="AM322" s="98">
        <v>19054.60717963326</v>
      </c>
      <c r="AN322" s="98">
        <v>0.8605999999999999</v>
      </c>
      <c r="AO322" s="81"/>
      <c r="AP322" s="98">
        <v>18317.11798651232</v>
      </c>
      <c r="AQ322" s="98">
        <v>0.6381766381766383</v>
      </c>
      <c r="AR322" s="81"/>
      <c r="AS322" s="98">
        <v>19054.60717963326</v>
      </c>
      <c r="AT322" s="98">
        <v>0.6882857142857143</v>
      </c>
      <c r="AU322" s="81"/>
      <c r="AV322" s="98">
        <v>18317.11798651232</v>
      </c>
      <c r="AW322" s="98">
        <v>0.46196581196581193</v>
      </c>
      <c r="AX322" s="81"/>
      <c r="AY322" s="98">
        <v>18317.11798651232</v>
      </c>
      <c r="AZ322" s="98">
        <v>0.33222857142857143</v>
      </c>
      <c r="BA322" s="81"/>
      <c r="BB322" s="98">
        <v>18317.11798651232</v>
      </c>
      <c r="BC322" s="98">
        <v>0.2352136752136752</v>
      </c>
    </row>
    <row r="323" spans="29:55" ht="12">
      <c r="AC323" s="5"/>
      <c r="AD323" s="5"/>
      <c r="AH323" s="81"/>
      <c r="AI323" s="81"/>
      <c r="AJ323" s="98">
        <v>2511.886431509513</v>
      </c>
      <c r="AK323" s="98">
        <v>0.6491168091168091</v>
      </c>
      <c r="AL323" s="81"/>
      <c r="AM323" s="98">
        <v>19821.789379610997</v>
      </c>
      <c r="AN323" s="98">
        <v>0.8632</v>
      </c>
      <c r="AO323" s="81"/>
      <c r="AP323" s="98">
        <v>19054.60717963326</v>
      </c>
      <c r="AQ323" s="98">
        <v>0.6381766381766383</v>
      </c>
      <c r="AR323" s="81"/>
      <c r="AS323" s="98">
        <v>19821.789379610997</v>
      </c>
      <c r="AT323" s="98">
        <v>0.6903714285714286</v>
      </c>
      <c r="AU323" s="81"/>
      <c r="AV323" s="98">
        <v>19054.60717963326</v>
      </c>
      <c r="AW323" s="98">
        <v>0.46196581196581193</v>
      </c>
      <c r="AX323" s="81"/>
      <c r="AY323" s="98">
        <v>19054.60717963326</v>
      </c>
      <c r="AZ323" s="98">
        <v>0.33222857142857143</v>
      </c>
      <c r="BA323" s="81"/>
      <c r="BB323" s="98">
        <v>19054.60717963326</v>
      </c>
      <c r="BC323" s="98">
        <v>0.2352136752136752</v>
      </c>
    </row>
    <row r="324" spans="29:55" ht="12">
      <c r="AC324" s="5"/>
      <c r="AD324" s="5"/>
      <c r="AH324" s="81"/>
      <c r="AI324" s="81"/>
      <c r="AJ324" s="98">
        <v>2595.8865861263243</v>
      </c>
      <c r="AK324" s="98">
        <v>0.6592592592592593</v>
      </c>
      <c r="AL324" s="81"/>
      <c r="AM324" s="98">
        <v>20619.860095023036</v>
      </c>
      <c r="AN324" s="98">
        <v>0.8658</v>
      </c>
      <c r="AO324" s="81"/>
      <c r="AP324" s="98">
        <v>19821.789379610997</v>
      </c>
      <c r="AQ324" s="98">
        <v>0.6381766381766383</v>
      </c>
      <c r="AR324" s="81"/>
      <c r="AS324" s="98">
        <v>20619.860095023036</v>
      </c>
      <c r="AT324" s="98">
        <v>0.6924571428571429</v>
      </c>
      <c r="AU324" s="81"/>
      <c r="AV324" s="98">
        <v>19821.789379610997</v>
      </c>
      <c r="AW324" s="98">
        <v>0.46196581196581193</v>
      </c>
      <c r="AX324" s="81"/>
      <c r="AY324" s="98">
        <v>19821.789379610997</v>
      </c>
      <c r="AZ324" s="98">
        <v>0.33325714285714286</v>
      </c>
      <c r="BA324" s="81"/>
      <c r="BB324" s="98">
        <v>19821.789379610997</v>
      </c>
      <c r="BC324" s="98">
        <v>0.2352136752136752</v>
      </c>
    </row>
    <row r="325" spans="29:55" ht="12">
      <c r="AC325" s="5"/>
      <c r="AD325" s="5"/>
      <c r="AH325" s="81"/>
      <c r="AI325" s="81"/>
      <c r="AJ325" s="98">
        <v>2682.6957952796533</v>
      </c>
      <c r="AK325" s="98">
        <v>0.6694017094017094</v>
      </c>
      <c r="AL325" s="81"/>
      <c r="AM325" s="98">
        <v>21450.062968364942</v>
      </c>
      <c r="AN325" s="98">
        <v>0.8684</v>
      </c>
      <c r="AO325" s="81"/>
      <c r="AP325" s="98">
        <v>20619.860095023036</v>
      </c>
      <c r="AQ325" s="98">
        <v>0.6381766381766383</v>
      </c>
      <c r="AR325" s="81"/>
      <c r="AS325" s="98">
        <v>21450.062968364942</v>
      </c>
      <c r="AT325" s="98">
        <v>0.6945428571428571</v>
      </c>
      <c r="AU325" s="81"/>
      <c r="AV325" s="98">
        <v>20619.860095023036</v>
      </c>
      <c r="AW325" s="98">
        <v>0.46330484330484323</v>
      </c>
      <c r="AX325" s="81"/>
      <c r="AY325" s="98">
        <v>20619.860095023036</v>
      </c>
      <c r="AZ325" s="98">
        <v>0.3342857142857143</v>
      </c>
      <c r="BA325" s="81"/>
      <c r="BB325" s="98">
        <v>20619.860095023036</v>
      </c>
      <c r="BC325" s="98">
        <v>0.2352136752136752</v>
      </c>
    </row>
    <row r="326" spans="29:55" ht="12">
      <c r="AC326" s="5"/>
      <c r="AD326" s="5"/>
      <c r="AH326" s="81"/>
      <c r="AI326" s="81"/>
      <c r="AJ326" s="98">
        <v>2772.407996741699</v>
      </c>
      <c r="AK326" s="98">
        <v>0.6770085470085471</v>
      </c>
      <c r="AL326" s="81"/>
      <c r="AM326" s="98">
        <v>22313.691714032313</v>
      </c>
      <c r="AN326" s="98">
        <v>0.871</v>
      </c>
      <c r="AO326" s="81"/>
      <c r="AP326" s="98">
        <v>21450.062968364942</v>
      </c>
      <c r="AQ326" s="98">
        <v>0.64</v>
      </c>
      <c r="AR326" s="81"/>
      <c r="AS326" s="98">
        <v>22313.691714032313</v>
      </c>
      <c r="AT326" s="98">
        <v>0.6966285714285715</v>
      </c>
      <c r="AU326" s="81"/>
      <c r="AV326" s="98">
        <v>21450.062968364942</v>
      </c>
      <c r="AW326" s="98">
        <v>0.46330484330484323</v>
      </c>
      <c r="AX326" s="81"/>
      <c r="AY326" s="98">
        <v>21450.062968364942</v>
      </c>
      <c r="AZ326" s="98">
        <v>0.33531428571428573</v>
      </c>
      <c r="BA326" s="81"/>
      <c r="BB326" s="98">
        <v>21450.062968364942</v>
      </c>
      <c r="BC326" s="98">
        <v>0.2352136752136752</v>
      </c>
    </row>
    <row r="327" spans="29:55" ht="12">
      <c r="AC327" s="5"/>
      <c r="AD327" s="5"/>
      <c r="AH327" s="81"/>
      <c r="AI327" s="81"/>
      <c r="AJ327" s="98">
        <v>2865.120269663703</v>
      </c>
      <c r="AK327" s="98">
        <v>0.6871509971509971</v>
      </c>
      <c r="AL327" s="81"/>
      <c r="AM327" s="98">
        <v>23212.092134330338</v>
      </c>
      <c r="AN327" s="98">
        <v>0.8735999999999999</v>
      </c>
      <c r="AO327" s="81"/>
      <c r="AP327" s="98">
        <v>22313.691714032313</v>
      </c>
      <c r="AQ327" s="98">
        <v>0.64</v>
      </c>
      <c r="AR327" s="81"/>
      <c r="AS327" s="98">
        <v>23212.092134330338</v>
      </c>
      <c r="AT327" s="98">
        <v>0.6987142857142857</v>
      </c>
      <c r="AU327" s="81"/>
      <c r="AV327" s="98">
        <v>22313.691714032313</v>
      </c>
      <c r="AW327" s="98">
        <v>0.46330484330484323</v>
      </c>
      <c r="AX327" s="81"/>
      <c r="AY327" s="98">
        <v>22313.691714032313</v>
      </c>
      <c r="AZ327" s="98">
        <v>0.33634285714285717</v>
      </c>
      <c r="BA327" s="81"/>
      <c r="BB327" s="98">
        <v>22313.691714032313</v>
      </c>
      <c r="BC327" s="98">
        <v>0.2358974358974359</v>
      </c>
    </row>
    <row r="328" spans="29:55" ht="12">
      <c r="AC328" s="5"/>
      <c r="AD328" s="5"/>
      <c r="AH328" s="81"/>
      <c r="AI328" s="81"/>
      <c r="AJ328" s="98">
        <v>2960.9329396270023</v>
      </c>
      <c r="AK328" s="98">
        <v>0.6947578347578348</v>
      </c>
      <c r="AL328" s="81"/>
      <c r="AM328" s="98">
        <v>24146.66421665254</v>
      </c>
      <c r="AN328" s="98">
        <v>0.8735999999999999</v>
      </c>
      <c r="AO328" s="81"/>
      <c r="AP328" s="98">
        <v>23212.092134330338</v>
      </c>
      <c r="AQ328" s="98">
        <v>0.64</v>
      </c>
      <c r="AR328" s="81"/>
      <c r="AS328" s="98">
        <v>24146.66421665254</v>
      </c>
      <c r="AT328" s="98">
        <v>0.7008</v>
      </c>
      <c r="AU328" s="81"/>
      <c r="AV328" s="98">
        <v>23212.092134330338</v>
      </c>
      <c r="AW328" s="98">
        <v>0.4646438746438746</v>
      </c>
      <c r="AX328" s="81"/>
      <c r="AY328" s="98">
        <v>23212.092134330338</v>
      </c>
      <c r="AZ328" s="98">
        <v>0.33634285714285717</v>
      </c>
      <c r="BA328" s="81"/>
      <c r="BB328" s="98">
        <v>23212.092134330338</v>
      </c>
      <c r="BC328" s="98">
        <v>0.2358974358974359</v>
      </c>
    </row>
    <row r="329" spans="29:55" ht="12">
      <c r="AC329" s="5"/>
      <c r="AD329" s="5"/>
      <c r="AH329" s="81"/>
      <c r="AI329" s="81"/>
      <c r="AJ329" s="98">
        <v>3059.9496872071113</v>
      </c>
      <c r="AK329" s="98">
        <v>0.7023646723646724</v>
      </c>
      <c r="AL329" s="81"/>
      <c r="AM329" s="98">
        <v>25118.864315096747</v>
      </c>
      <c r="AN329" s="98">
        <v>0.8762</v>
      </c>
      <c r="AO329" s="81"/>
      <c r="AP329" s="98"/>
      <c r="AQ329" s="98"/>
      <c r="AR329" s="81"/>
      <c r="AS329" s="98">
        <v>25118.864315096747</v>
      </c>
      <c r="AT329" s="98">
        <v>0.7028857142857143</v>
      </c>
      <c r="AU329" s="81"/>
      <c r="AV329" s="81"/>
      <c r="AW329" s="81"/>
      <c r="AX329" s="81"/>
      <c r="AY329" s="98">
        <v>24146.66421665254</v>
      </c>
      <c r="AZ329" s="98">
        <v>0.3373714285714286</v>
      </c>
      <c r="BA329" s="81"/>
      <c r="BB329" s="98">
        <v>24146.66421665254</v>
      </c>
      <c r="BC329" s="98">
        <v>0.2358974358974359</v>
      </c>
    </row>
    <row r="330" spans="29:55" ht="12">
      <c r="AC330" s="5"/>
      <c r="AD330" s="5"/>
      <c r="AH330" s="81"/>
      <c r="AI330" s="81"/>
      <c r="AJ330" s="98">
        <v>3162.2776601682917</v>
      </c>
      <c r="AK330" s="98">
        <v>0.70997150997151</v>
      </c>
      <c r="AL330" s="81"/>
      <c r="AM330" s="98">
        <v>26130.20741991792</v>
      </c>
      <c r="AN330" s="98">
        <v>0.8787999999999999</v>
      </c>
      <c r="AO330" s="81"/>
      <c r="AP330" s="98"/>
      <c r="AQ330" s="98"/>
      <c r="AR330" s="81"/>
      <c r="AS330" s="98">
        <v>26130.20741991792</v>
      </c>
      <c r="AT330" s="98">
        <v>0.7028857142857143</v>
      </c>
      <c r="AU330" s="81"/>
      <c r="AV330" s="81"/>
      <c r="AW330" s="81"/>
      <c r="AX330" s="81"/>
      <c r="AY330" s="98">
        <v>25118.864315096747</v>
      </c>
      <c r="AZ330" s="98">
        <v>0.33840000000000003</v>
      </c>
      <c r="BA330" s="81"/>
      <c r="BB330" s="98">
        <v>25118.864315096747</v>
      </c>
      <c r="BC330" s="98">
        <v>0.2358974358974359</v>
      </c>
    </row>
    <row r="331" spans="29:55" ht="12">
      <c r="AC331" s="5"/>
      <c r="AD331" s="5"/>
      <c r="AH331" s="81"/>
      <c r="AI331" s="81"/>
      <c r="AJ331" s="98">
        <v>3268.027589410035</v>
      </c>
      <c r="AK331" s="98">
        <v>0.7175783475783476</v>
      </c>
      <c r="AL331" s="81"/>
      <c r="AM331" s="98">
        <v>27182.26951835437</v>
      </c>
      <c r="AN331" s="98">
        <v>0.8787999999999999</v>
      </c>
      <c r="AO331" s="81"/>
      <c r="AP331" s="98"/>
      <c r="AQ331" s="98"/>
      <c r="AR331" s="81"/>
      <c r="AS331" s="98">
        <v>27182.26951835437</v>
      </c>
      <c r="AT331" s="98">
        <v>0.7049714285714286</v>
      </c>
      <c r="AU331" s="81"/>
      <c r="AV331" s="81"/>
      <c r="AW331" s="81"/>
      <c r="AX331" s="81"/>
      <c r="AY331" s="98">
        <v>26130.20741991792</v>
      </c>
      <c r="AZ331" s="98">
        <v>0.3394285714285714</v>
      </c>
      <c r="BA331" s="81"/>
      <c r="BB331" s="98">
        <v>26130.20741991792</v>
      </c>
      <c r="BC331" s="98">
        <v>0.2358974358974359</v>
      </c>
    </row>
    <row r="332" spans="29:55" ht="12">
      <c r="AC332" s="5"/>
      <c r="AD332" s="5"/>
      <c r="AH332" s="81"/>
      <c r="AI332" s="81"/>
      <c r="AJ332" s="98">
        <v>3377.313908790916</v>
      </c>
      <c r="AK332" s="98">
        <v>0.7277207977207978</v>
      </c>
      <c r="AL332" s="81"/>
      <c r="AM332" s="98">
        <v>28276.690050506226</v>
      </c>
      <c r="AN332" s="98">
        <v>0.8814</v>
      </c>
      <c r="AO332" s="81"/>
      <c r="AP332" s="98"/>
      <c r="AQ332" s="98"/>
      <c r="AR332" s="81"/>
      <c r="AS332" s="98">
        <v>28276.690050506226</v>
      </c>
      <c r="AT332" s="98">
        <v>0.7070571428571429</v>
      </c>
      <c r="AU332" s="81"/>
      <c r="AV332" s="81"/>
      <c r="AW332" s="81"/>
      <c r="AX332" s="81"/>
      <c r="AY332" s="98">
        <v>27182.26951835437</v>
      </c>
      <c r="AZ332" s="98">
        <v>0.3394285714285714</v>
      </c>
      <c r="BA332" s="81"/>
      <c r="BB332" s="98">
        <v>27182.26951835437</v>
      </c>
      <c r="BC332" s="98">
        <v>0.2358974358974359</v>
      </c>
    </row>
    <row r="333" spans="29:55" ht="12">
      <c r="AC333" s="5"/>
      <c r="AD333" s="5"/>
      <c r="AH333" s="81"/>
      <c r="AI333" s="81"/>
      <c r="AJ333" s="98">
        <v>3490.254878959483</v>
      </c>
      <c r="AK333" s="98">
        <v>0.7378632478632479</v>
      </c>
      <c r="AL333" s="81"/>
      <c r="AM333" s="98">
        <v>29415.174464093252</v>
      </c>
      <c r="AN333" s="98">
        <v>0.884</v>
      </c>
      <c r="AO333" s="81"/>
      <c r="AP333" s="98"/>
      <c r="AQ333" s="98"/>
      <c r="AR333" s="81"/>
      <c r="AS333" s="98">
        <v>29415.174464093252</v>
      </c>
      <c r="AT333" s="98">
        <v>0.7091428571428572</v>
      </c>
      <c r="AU333" s="81"/>
      <c r="AV333" s="81"/>
      <c r="AW333" s="81"/>
      <c r="AX333" s="81"/>
      <c r="AY333" s="98">
        <v>28276.690050506226</v>
      </c>
      <c r="AZ333" s="98">
        <v>0.34045714285714285</v>
      </c>
      <c r="BA333" s="81"/>
      <c r="BB333" s="98">
        <v>28276.690050506226</v>
      </c>
      <c r="BC333" s="98">
        <v>0.2358974358974359</v>
      </c>
    </row>
    <row r="334" spans="29:55" ht="12">
      <c r="AC334" s="5"/>
      <c r="AD334" s="5"/>
      <c r="AH334" s="81"/>
      <c r="AI334" s="81"/>
      <c r="AJ334" s="98">
        <v>3606.9727153261892</v>
      </c>
      <c r="AK334" s="98">
        <v>0.7429344729344729</v>
      </c>
      <c r="AL334" s="81"/>
      <c r="AM334" s="98">
        <v>30599.496872073025</v>
      </c>
      <c r="AN334" s="98">
        <v>0.884</v>
      </c>
      <c r="AO334" s="81"/>
      <c r="AP334" s="98"/>
      <c r="AQ334" s="98"/>
      <c r="AR334" s="81"/>
      <c r="AS334" s="98">
        <v>30599.496872073025</v>
      </c>
      <c r="AT334" s="98">
        <v>0.7091428571428572</v>
      </c>
      <c r="AU334" s="81"/>
      <c r="AV334" s="81"/>
      <c r="AW334" s="81"/>
      <c r="AX334" s="81"/>
      <c r="AY334" s="98">
        <v>29415.174464093252</v>
      </c>
      <c r="AZ334" s="98">
        <v>0.3414857142857143</v>
      </c>
      <c r="BA334" s="81"/>
      <c r="BB334" s="98">
        <v>29415.174464093252</v>
      </c>
      <c r="BC334" s="98">
        <v>0.23658119658119658</v>
      </c>
    </row>
    <row r="335" spans="29:55" ht="12">
      <c r="AC335" s="5"/>
      <c r="AD335" s="5"/>
      <c r="AH335" s="81"/>
      <c r="AI335" s="81"/>
      <c r="AJ335" s="98">
        <v>3727.593720314835</v>
      </c>
      <c r="AK335" s="98">
        <v>0.7505413105413106</v>
      </c>
      <c r="AL335" s="81"/>
      <c r="AM335" s="98">
        <v>31831.502817260956</v>
      </c>
      <c r="AN335" s="98">
        <v>0.8865999999999999</v>
      </c>
      <c r="AO335" s="81"/>
      <c r="AP335" s="98"/>
      <c r="AQ335" s="98"/>
      <c r="AR335" s="81"/>
      <c r="AS335" s="98">
        <v>31831.502817260956</v>
      </c>
      <c r="AT335" s="98">
        <v>0.7133142857142858</v>
      </c>
      <c r="AU335" s="81"/>
      <c r="AV335" s="81"/>
      <c r="AW335" s="81"/>
      <c r="AX335" s="81"/>
      <c r="AY335" s="98">
        <v>30599.496872073025</v>
      </c>
      <c r="AZ335" s="98">
        <v>0.3414857142857143</v>
      </c>
      <c r="BA335" s="81"/>
      <c r="BB335" s="98">
        <v>30599.496872073025</v>
      </c>
      <c r="BC335" s="98">
        <v>0.23658119658119658</v>
      </c>
    </row>
    <row r="336" spans="29:55" ht="12">
      <c r="AC336" s="5"/>
      <c r="AD336" s="5"/>
      <c r="AH336" s="81"/>
      <c r="AI336" s="81"/>
      <c r="AJ336" s="98">
        <v>3852.248420036643</v>
      </c>
      <c r="AK336" s="98">
        <v>0.7556125356125356</v>
      </c>
      <c r="AL336" s="81"/>
      <c r="AM336" s="98">
        <v>33113.112148260225</v>
      </c>
      <c r="AN336" s="98">
        <v>0.8892</v>
      </c>
      <c r="AO336" s="81"/>
      <c r="AP336" s="98"/>
      <c r="AQ336" s="98"/>
      <c r="AR336" s="81"/>
      <c r="AS336" s="98">
        <v>33113.112148260225</v>
      </c>
      <c r="AT336" s="98">
        <v>0.7133142857142858</v>
      </c>
      <c r="AU336" s="81"/>
      <c r="AV336" s="81"/>
      <c r="AW336" s="81"/>
      <c r="AX336" s="81"/>
      <c r="AY336" s="98">
        <v>31831.502817260956</v>
      </c>
      <c r="AZ336" s="98">
        <v>0.3425142857142857</v>
      </c>
      <c r="BA336" s="81"/>
      <c r="BB336" s="98">
        <v>31831.502817260956</v>
      </c>
      <c r="BC336" s="98">
        <v>0.23658119658119658</v>
      </c>
    </row>
    <row r="337" spans="29:55" ht="12">
      <c r="AC337" s="5"/>
      <c r="AD337" s="5"/>
      <c r="AH337" s="81"/>
      <c r="AI337" s="81"/>
      <c r="AJ337" s="98">
        <v>3981.071705534859</v>
      </c>
      <c r="AK337" s="98">
        <v>0.7657549857549858</v>
      </c>
      <c r="AL337" s="81"/>
      <c r="AM337" s="98">
        <v>34446.32201118329</v>
      </c>
      <c r="AN337" s="98">
        <v>0.8892</v>
      </c>
      <c r="AO337" s="81"/>
      <c r="AP337" s="98"/>
      <c r="AQ337" s="98"/>
      <c r="AR337" s="81"/>
      <c r="AS337" s="98">
        <v>34446.32201118329</v>
      </c>
      <c r="AT337" s="98">
        <v>0.7154</v>
      </c>
      <c r="AU337" s="81"/>
      <c r="AV337" s="81"/>
      <c r="AW337" s="81"/>
      <c r="AX337" s="81"/>
      <c r="AY337" s="98">
        <v>33113.112148260225</v>
      </c>
      <c r="AZ337" s="98">
        <v>0.34354285714285715</v>
      </c>
      <c r="BA337" s="81"/>
      <c r="BB337" s="98">
        <v>33113.112148260225</v>
      </c>
      <c r="BC337" s="98">
        <v>0.23658119658119658</v>
      </c>
    </row>
    <row r="338" spans="29:55" ht="12">
      <c r="AC338" s="5"/>
      <c r="AD338" s="5"/>
      <c r="AH338" s="81"/>
      <c r="AI338" s="81"/>
      <c r="AJ338" s="98">
        <v>4114.202978752724</v>
      </c>
      <c r="AK338" s="98">
        <v>0.7733618233618234</v>
      </c>
      <c r="AL338" s="81"/>
      <c r="AM338" s="98">
        <v>35833.20996182693</v>
      </c>
      <c r="AN338" s="98">
        <v>0.8917999999999999</v>
      </c>
      <c r="AO338" s="81"/>
      <c r="AP338" s="98"/>
      <c r="AQ338" s="98"/>
      <c r="AR338" s="81"/>
      <c r="AS338" s="98">
        <v>35833.20996182693</v>
      </c>
      <c r="AT338" s="98">
        <v>0.7174857142857143</v>
      </c>
      <c r="AU338" s="81"/>
      <c r="AV338" s="81"/>
      <c r="AW338" s="81"/>
      <c r="AX338" s="81"/>
      <c r="AY338" s="98">
        <v>34446.32201118329</v>
      </c>
      <c r="AZ338" s="98">
        <v>0.34354285714285715</v>
      </c>
      <c r="BA338" s="81"/>
      <c r="BB338" s="98">
        <v>34446.32201118329</v>
      </c>
      <c r="BC338" s="98">
        <v>0.23658119658119658</v>
      </c>
    </row>
    <row r="339" spans="29:55" ht="12">
      <c r="AC339" s="5"/>
      <c r="AD339" s="5"/>
      <c r="AH339" s="81"/>
      <c r="AI339" s="81"/>
      <c r="AJ339" s="98">
        <v>4251.786303382768</v>
      </c>
      <c r="AK339" s="98">
        <v>0.7784330484330485</v>
      </c>
      <c r="AL339" s="81"/>
      <c r="AM339" s="98">
        <v>37275.9372031506</v>
      </c>
      <c r="AN339" s="98">
        <v>0.8944</v>
      </c>
      <c r="AO339" s="81"/>
      <c r="AP339" s="98"/>
      <c r="AQ339" s="98"/>
      <c r="AR339" s="81"/>
      <c r="AS339" s="98">
        <v>37275.9372031506</v>
      </c>
      <c r="AT339" s="98">
        <v>0.7174857142857143</v>
      </c>
      <c r="AU339" s="81"/>
      <c r="AV339" s="81"/>
      <c r="AW339" s="81"/>
      <c r="AX339" s="81"/>
      <c r="AY339" s="98">
        <v>35833.20996182693</v>
      </c>
      <c r="AZ339" s="98">
        <v>0.3445714285714286</v>
      </c>
      <c r="BA339" s="81"/>
      <c r="BB339" s="98">
        <v>35833.20996182693</v>
      </c>
      <c r="BC339" s="98">
        <v>0.23658119658119658</v>
      </c>
    </row>
    <row r="340" spans="29:55" ht="12">
      <c r="AC340" s="5"/>
      <c r="AD340" s="5"/>
      <c r="AH340" s="81"/>
      <c r="AI340" s="81"/>
      <c r="AJ340" s="98">
        <v>4393.970560760665</v>
      </c>
      <c r="AK340" s="98">
        <v>0.7860398860398861</v>
      </c>
      <c r="AL340" s="81"/>
      <c r="AM340" s="98">
        <v>38776.75195310313</v>
      </c>
      <c r="AN340" s="98">
        <v>0.8944</v>
      </c>
      <c r="AO340" s="81"/>
      <c r="AP340" s="98"/>
      <c r="AQ340" s="98"/>
      <c r="AR340" s="81"/>
      <c r="AS340" s="98">
        <v>38776.75195310313</v>
      </c>
      <c r="AT340" s="98">
        <v>0.7195714285714286</v>
      </c>
      <c r="AU340" s="81"/>
      <c r="AV340" s="81"/>
      <c r="AW340" s="81"/>
      <c r="AX340" s="81"/>
      <c r="AY340" s="98">
        <v>37275.9372031506</v>
      </c>
      <c r="AZ340" s="98">
        <v>0.3456</v>
      </c>
      <c r="BA340" s="81"/>
      <c r="BB340" s="98">
        <v>37275.9372031506</v>
      </c>
      <c r="BC340" s="98">
        <v>0.23658119658119658</v>
      </c>
    </row>
    <row r="341" spans="29:55" ht="12">
      <c r="AC341" s="5"/>
      <c r="AD341" s="5"/>
      <c r="AH341" s="81"/>
      <c r="AI341" s="81"/>
      <c r="AJ341" s="98">
        <v>4540.909610972345</v>
      </c>
      <c r="AK341" s="98">
        <v>0.7936467236467236</v>
      </c>
      <c r="AL341" s="81"/>
      <c r="AM341" s="98">
        <v>40337.99294804581</v>
      </c>
      <c r="AN341" s="98">
        <v>0.8969999999999999</v>
      </c>
      <c r="AO341" s="81"/>
      <c r="AP341" s="98"/>
      <c r="AQ341" s="98"/>
      <c r="AR341" s="81"/>
      <c r="AS341" s="98">
        <v>40337.99294804581</v>
      </c>
      <c r="AT341" s="98">
        <v>0.7216571428571429</v>
      </c>
      <c r="AU341" s="81"/>
      <c r="AV341" s="81"/>
      <c r="AW341" s="81"/>
      <c r="AX341" s="81"/>
      <c r="AY341" s="98">
        <v>38776.75195310313</v>
      </c>
      <c r="AZ341" s="98">
        <v>0.34662857142857145</v>
      </c>
      <c r="BA341" s="81"/>
      <c r="BB341" s="98">
        <v>38776.75195310313</v>
      </c>
      <c r="BC341" s="98">
        <v>0.23658119658119658</v>
      </c>
    </row>
    <row r="342" spans="29:55" ht="12">
      <c r="AC342" s="5"/>
      <c r="AD342" s="5"/>
      <c r="AH342" s="81"/>
      <c r="AI342" s="81"/>
      <c r="AJ342" s="98">
        <v>4692.762459348702</v>
      </c>
      <c r="AK342" s="98">
        <v>0.8012535612535613</v>
      </c>
      <c r="AL342" s="81"/>
      <c r="AM342" s="98">
        <v>41962.09308723135</v>
      </c>
      <c r="AN342" s="98">
        <v>0.8996</v>
      </c>
      <c r="AO342" s="81"/>
      <c r="AP342" s="98"/>
      <c r="AQ342" s="98"/>
      <c r="AR342" s="81"/>
      <c r="AS342" s="98">
        <v>41962.09308723135</v>
      </c>
      <c r="AT342" s="98">
        <v>0.7237428571428571</v>
      </c>
      <c r="AU342" s="81"/>
      <c r="AV342" s="81"/>
      <c r="AW342" s="81"/>
      <c r="AX342" s="81"/>
      <c r="AY342" s="98">
        <v>40337.99294804581</v>
      </c>
      <c r="AZ342" s="98">
        <v>0.34662857142857145</v>
      </c>
      <c r="BA342" s="81"/>
      <c r="BB342" s="98">
        <v>40337.99294804581</v>
      </c>
      <c r="BC342" s="98">
        <v>0.23726495726495728</v>
      </c>
    </row>
    <row r="343" spans="29:55" ht="12">
      <c r="AC343" s="5"/>
      <c r="AD343" s="5"/>
      <c r="AH343" s="81"/>
      <c r="AI343" s="81"/>
      <c r="AJ343" s="98">
        <v>4849.693428528057</v>
      </c>
      <c r="AK343" s="98">
        <v>0.8063247863247863</v>
      </c>
      <c r="AL343" s="81"/>
      <c r="AM343" s="98">
        <v>43651.5832240179</v>
      </c>
      <c r="AN343" s="98">
        <v>0.8996</v>
      </c>
      <c r="AO343" s="81"/>
      <c r="AP343" s="98"/>
      <c r="AQ343" s="98"/>
      <c r="AR343" s="81"/>
      <c r="AS343" s="98">
        <v>43651.5832240179</v>
      </c>
      <c r="AT343" s="98">
        <v>0.7237428571428571</v>
      </c>
      <c r="AU343" s="81"/>
      <c r="AV343" s="81"/>
      <c r="AW343" s="81"/>
      <c r="AX343" s="81"/>
      <c r="AY343" s="98">
        <v>41962.09308723135</v>
      </c>
      <c r="AZ343" s="98">
        <v>0.3476571428571429</v>
      </c>
      <c r="BA343" s="81"/>
      <c r="BB343" s="98">
        <v>41962.09308723135</v>
      </c>
      <c r="BC343" s="98">
        <v>0.23726495726495728</v>
      </c>
    </row>
    <row r="344" spans="29:55" ht="12">
      <c r="AC344" s="5"/>
      <c r="AD344" s="5"/>
      <c r="AH344" s="81"/>
      <c r="AI344" s="81"/>
      <c r="AJ344" s="98">
        <v>5011.872336272576</v>
      </c>
      <c r="AK344" s="98">
        <v>0.8113960113960115</v>
      </c>
      <c r="AL344" s="81"/>
      <c r="AM344" s="98">
        <v>45409.096109726095</v>
      </c>
      <c r="AN344" s="98">
        <v>0.9022</v>
      </c>
      <c r="AO344" s="81"/>
      <c r="AP344" s="98"/>
      <c r="AQ344" s="98"/>
      <c r="AR344" s="81"/>
      <c r="AS344" s="98">
        <v>45409.096109726095</v>
      </c>
      <c r="AT344" s="98">
        <v>0.7258285714285715</v>
      </c>
      <c r="AU344" s="81"/>
      <c r="AV344" s="81"/>
      <c r="AW344" s="81"/>
      <c r="AX344" s="81"/>
      <c r="AY344" s="98">
        <v>43651.5832240179</v>
      </c>
      <c r="AZ344" s="98">
        <v>0.3486857142857143</v>
      </c>
      <c r="BA344" s="81"/>
      <c r="BB344" s="98">
        <v>43651.5832240179</v>
      </c>
      <c r="BC344" s="98">
        <v>0.23726495726495728</v>
      </c>
    </row>
    <row r="345" spans="29:55" ht="12">
      <c r="AC345" s="5"/>
      <c r="AD345" s="5"/>
      <c r="AH345" s="81"/>
      <c r="AI345" s="81"/>
      <c r="AJ345" s="98">
        <v>5179.474679231059</v>
      </c>
      <c r="AK345" s="98">
        <v>0.8164672364672365</v>
      </c>
      <c r="AL345" s="81"/>
      <c r="AM345" s="98">
        <v>47237.37049628474</v>
      </c>
      <c r="AN345" s="98">
        <v>0.9022</v>
      </c>
      <c r="AO345" s="81"/>
      <c r="AP345" s="98"/>
      <c r="AQ345" s="98"/>
      <c r="AR345" s="81"/>
      <c r="AS345" s="81"/>
      <c r="AT345" s="81"/>
      <c r="AU345" s="81"/>
      <c r="AV345" s="81"/>
      <c r="AW345" s="81"/>
      <c r="AX345" s="81"/>
      <c r="AY345" s="98">
        <v>45409.096109726095</v>
      </c>
      <c r="AZ345" s="98">
        <v>0.3497142857142857</v>
      </c>
      <c r="BA345" s="81"/>
      <c r="BB345" s="98">
        <v>45409.096109726095</v>
      </c>
      <c r="BC345" s="98">
        <v>0.23726495726495728</v>
      </c>
    </row>
    <row r="346" spans="29:55" ht="12">
      <c r="AC346" s="5"/>
      <c r="AD346" s="5"/>
      <c r="AH346" s="81"/>
      <c r="AI346" s="81"/>
      <c r="AJ346" s="98">
        <v>5352.681822846947</v>
      </c>
      <c r="AK346" s="98">
        <v>0.8215384615384616</v>
      </c>
      <c r="AL346" s="81"/>
      <c r="AM346" s="81"/>
      <c r="AN346" s="81"/>
      <c r="AO346" s="81"/>
      <c r="AP346" s="98"/>
      <c r="AQ346" s="98"/>
      <c r="AR346" s="81"/>
      <c r="AS346" s="99"/>
      <c r="AT346" s="99"/>
      <c r="AU346" s="81"/>
      <c r="AV346" s="81"/>
      <c r="AW346" s="81"/>
      <c r="AX346" s="81"/>
      <c r="AY346" s="98">
        <v>47237.37049628474</v>
      </c>
      <c r="AZ346" s="98">
        <v>0.3497142857142857</v>
      </c>
      <c r="BA346" s="81"/>
      <c r="BB346" s="81"/>
      <c r="BC346" s="81"/>
    </row>
    <row r="347" spans="29:55" ht="12">
      <c r="AC347" s="5"/>
      <c r="AD347" s="5"/>
      <c r="AH347" s="81"/>
      <c r="AI347" s="81"/>
      <c r="AJ347" s="98">
        <v>5531.681197617063</v>
      </c>
      <c r="AK347" s="98">
        <v>0.8266096866096866</v>
      </c>
      <c r="AL347" s="81"/>
      <c r="AM347" s="98"/>
      <c r="AN347" s="98"/>
      <c r="AO347" s="81"/>
      <c r="AP347" s="98"/>
      <c r="AQ347" s="98"/>
      <c r="AR347" s="81"/>
      <c r="AS347" s="99"/>
      <c r="AT347" s="99"/>
      <c r="AU347" s="81"/>
      <c r="AV347" s="81"/>
      <c r="AW347" s="81"/>
      <c r="AX347" s="81"/>
      <c r="AY347" s="81"/>
      <c r="AZ347" s="81"/>
      <c r="BA347" s="81"/>
      <c r="BB347" s="81"/>
      <c r="BC347" s="81"/>
    </row>
    <row r="348" spans="34:55" ht="12">
      <c r="AH348" s="81"/>
      <c r="AI348" s="81"/>
      <c r="AJ348" s="98">
        <v>5716.666501913446</v>
      </c>
      <c r="AK348" s="98">
        <v>0.8316809116809117</v>
      </c>
      <c r="AL348" s="81"/>
      <c r="AM348" s="98"/>
      <c r="AN348" s="98"/>
      <c r="AO348" s="81"/>
      <c r="AP348" s="98"/>
      <c r="AQ348" s="98"/>
      <c r="AR348" s="81"/>
      <c r="AS348" s="99"/>
      <c r="AT348" s="99"/>
      <c r="AU348" s="81"/>
      <c r="AV348" s="81"/>
      <c r="AW348" s="81"/>
      <c r="AX348" s="81"/>
      <c r="AY348" s="81"/>
      <c r="AZ348" s="81"/>
      <c r="BA348" s="81"/>
      <c r="BB348" s="81"/>
      <c r="BC348" s="81"/>
    </row>
    <row r="349" spans="34:55" ht="12">
      <c r="AH349" s="81"/>
      <c r="AI349" s="81"/>
      <c r="AJ349" s="98">
        <v>5907.837911587769</v>
      </c>
      <c r="AK349" s="98">
        <v>0.8367521367521368</v>
      </c>
      <c r="AL349" s="81"/>
      <c r="AM349" s="98"/>
      <c r="AN349" s="98"/>
      <c r="AO349" s="81"/>
      <c r="AP349" s="98"/>
      <c r="AQ349" s="98"/>
      <c r="AR349" s="81"/>
      <c r="AS349" s="99"/>
      <c r="AT349" s="99"/>
      <c r="AU349" s="81"/>
      <c r="AV349" s="81"/>
      <c r="AW349" s="81"/>
      <c r="AX349" s="81"/>
      <c r="AY349" s="81"/>
      <c r="AZ349" s="81"/>
      <c r="BA349" s="81"/>
      <c r="BB349" s="81"/>
      <c r="BC349" s="81"/>
    </row>
    <row r="350" spans="34:55" ht="12">
      <c r="AH350" s="81"/>
      <c r="AI350" s="81"/>
      <c r="AJ350" s="98">
        <v>6105.402296585145</v>
      </c>
      <c r="AK350" s="98">
        <v>0.8418233618233618</v>
      </c>
      <c r="AL350" s="81"/>
      <c r="AM350" s="98"/>
      <c r="AN350" s="98"/>
      <c r="AO350" s="81"/>
      <c r="AP350" s="98"/>
      <c r="AQ350" s="98"/>
      <c r="AR350" s="81"/>
      <c r="AS350" s="99"/>
      <c r="AT350" s="99"/>
      <c r="AU350" s="81"/>
      <c r="AV350" s="81"/>
      <c r="AW350" s="81"/>
      <c r="AX350" s="81"/>
      <c r="AY350" s="81"/>
      <c r="AZ350" s="81"/>
      <c r="BA350" s="81"/>
      <c r="BB350" s="81"/>
      <c r="BC350" s="81"/>
    </row>
    <row r="351" spans="34:55" ht="12">
      <c r="AH351" s="81"/>
      <c r="AI351" s="81"/>
      <c r="AJ351" s="98">
        <v>6309.573444801743</v>
      </c>
      <c r="AK351" s="98">
        <v>0.8443589743589743</v>
      </c>
      <c r="AL351" s="81"/>
      <c r="AM351" s="98"/>
      <c r="AN351" s="98"/>
      <c r="AO351" s="81"/>
      <c r="AP351" s="98"/>
      <c r="AQ351" s="98"/>
      <c r="AR351" s="81"/>
      <c r="AS351" s="99"/>
      <c r="AT351" s="99"/>
      <c r="AU351" s="81"/>
      <c r="AV351" s="81"/>
      <c r="AW351" s="81"/>
      <c r="AX351" s="81"/>
      <c r="AY351" s="81"/>
      <c r="AZ351" s="81"/>
      <c r="BA351" s="81"/>
      <c r="BB351" s="81"/>
      <c r="BC351" s="81"/>
    </row>
    <row r="352" spans="34:55" ht="12">
      <c r="AH352" s="81"/>
      <c r="AI352" s="81"/>
      <c r="AJ352" s="98">
        <v>6520.572293428418</v>
      </c>
      <c r="AK352" s="98">
        <v>0.846894586894587</v>
      </c>
      <c r="AL352" s="81"/>
      <c r="AM352" s="98"/>
      <c r="AN352" s="98"/>
      <c r="AO352" s="81"/>
      <c r="AP352" s="98"/>
      <c r="AQ352" s="98"/>
      <c r="AR352" s="81"/>
      <c r="AS352" s="99"/>
      <c r="AT352" s="99"/>
      <c r="AU352" s="81"/>
      <c r="AV352" s="81"/>
      <c r="AW352" s="81"/>
      <c r="AX352" s="81"/>
      <c r="AY352" s="81"/>
      <c r="AZ352" s="81"/>
      <c r="BA352" s="81"/>
      <c r="BB352" s="81"/>
      <c r="BC352" s="81"/>
    </row>
    <row r="353" spans="34:55" ht="12">
      <c r="AH353" s="81"/>
      <c r="AI353" s="81"/>
      <c r="AJ353" s="98">
        <v>6738.627168030741</v>
      </c>
      <c r="AK353" s="98">
        <v>0.851965811965812</v>
      </c>
      <c r="AL353" s="81"/>
      <c r="AM353" s="98"/>
      <c r="AN353" s="98"/>
      <c r="AO353" s="81"/>
      <c r="AP353" s="98"/>
      <c r="AQ353" s="98"/>
      <c r="AR353" s="81"/>
      <c r="AS353" s="99"/>
      <c r="AT353" s="99"/>
      <c r="AU353" s="81"/>
      <c r="AV353" s="81"/>
      <c r="AW353" s="81"/>
      <c r="AX353" s="81"/>
      <c r="AY353" s="81"/>
      <c r="AZ353" s="81"/>
      <c r="BA353" s="81"/>
      <c r="BB353" s="81"/>
      <c r="BC353" s="81"/>
    </row>
    <row r="354" spans="34:55" ht="12">
      <c r="AH354" s="81"/>
      <c r="AI354" s="81"/>
      <c r="AJ354" s="98">
        <v>6963.974029624107</v>
      </c>
      <c r="AK354" s="98">
        <v>0.8545014245014245</v>
      </c>
      <c r="AL354" s="81"/>
      <c r="AM354" s="98"/>
      <c r="AN354" s="98"/>
      <c r="AO354" s="81"/>
      <c r="AP354" s="98"/>
      <c r="AQ354" s="98"/>
      <c r="AR354" s="81"/>
      <c r="AS354" s="99"/>
      <c r="AT354" s="99"/>
      <c r="AU354" s="81"/>
      <c r="AV354" s="81"/>
      <c r="AW354" s="81"/>
      <c r="AX354" s="81"/>
      <c r="AY354" s="81"/>
      <c r="AZ354" s="81"/>
      <c r="BA354" s="81"/>
      <c r="BB354" s="81"/>
      <c r="BC354" s="81"/>
    </row>
    <row r="355" spans="34:55" ht="12">
      <c r="AH355" s="81"/>
      <c r="AI355" s="81"/>
      <c r="AJ355" s="98">
        <v>7196.856730011301</v>
      </c>
      <c r="AK355" s="98">
        <v>0.8595726495726496</v>
      </c>
      <c r="AL355" s="81"/>
      <c r="AM355" s="98"/>
      <c r="AN355" s="98"/>
      <c r="AO355" s="81"/>
      <c r="AP355" s="98"/>
      <c r="AQ355" s="98"/>
      <c r="AR355" s="81"/>
      <c r="AS355" s="99"/>
      <c r="AT355" s="99"/>
      <c r="AU355" s="81"/>
      <c r="AV355" s="81"/>
      <c r="AW355" s="81"/>
      <c r="AX355" s="81"/>
      <c r="AY355" s="81"/>
      <c r="AZ355" s="81"/>
      <c r="BA355" s="81"/>
      <c r="BB355" s="81"/>
      <c r="BC355" s="81"/>
    </row>
    <row r="356" spans="34:55" ht="12">
      <c r="AH356" s="81"/>
      <c r="AI356" s="81"/>
      <c r="AJ356" s="98">
        <v>7437.527275658818</v>
      </c>
      <c r="AK356" s="98">
        <v>0.8621082621082621</v>
      </c>
      <c r="AL356" s="81"/>
      <c r="AM356" s="98"/>
      <c r="AN356" s="98"/>
      <c r="AO356" s="81"/>
      <c r="AP356" s="98"/>
      <c r="AQ356" s="98"/>
      <c r="AR356" s="81"/>
      <c r="AS356" s="99"/>
      <c r="AT356" s="99"/>
      <c r="AU356" s="81"/>
      <c r="AV356" s="81"/>
      <c r="AW356" s="81"/>
      <c r="AX356" s="81"/>
      <c r="AY356" s="81"/>
      <c r="AZ356" s="81"/>
      <c r="BA356" s="81"/>
      <c r="BB356" s="81"/>
      <c r="BC356" s="81"/>
    </row>
    <row r="357" spans="34:55" ht="12">
      <c r="AH357" s="81"/>
      <c r="AI357" s="81"/>
      <c r="AJ357" s="98">
        <v>7686.246100397502</v>
      </c>
      <c r="AK357" s="98">
        <v>0.8646438746438747</v>
      </c>
      <c r="AL357" s="81"/>
      <c r="AM357" s="98"/>
      <c r="AN357" s="98"/>
      <c r="AO357" s="81"/>
      <c r="AP357" s="98"/>
      <c r="AQ357" s="98"/>
      <c r="AR357" s="81"/>
      <c r="AS357" s="99"/>
      <c r="AT357" s="99"/>
      <c r="AU357" s="81"/>
      <c r="AV357" s="81"/>
      <c r="AW357" s="81"/>
      <c r="AX357" s="81"/>
      <c r="AY357" s="81"/>
      <c r="AZ357" s="81"/>
      <c r="BA357" s="81"/>
      <c r="BB357" s="81"/>
      <c r="BC357" s="81"/>
    </row>
    <row r="358" spans="34:55" ht="12">
      <c r="AH358" s="81"/>
      <c r="AI358" s="81"/>
      <c r="AJ358" s="98">
        <v>7943.28234724257</v>
      </c>
      <c r="AK358" s="98">
        <v>0.8671794871794872</v>
      </c>
      <c r="AL358" s="81"/>
      <c r="AM358" s="98"/>
      <c r="AN358" s="98"/>
      <c r="AO358" s="81"/>
      <c r="AP358" s="98"/>
      <c r="AQ358" s="98"/>
      <c r="AR358" s="81"/>
      <c r="AS358" s="99"/>
      <c r="AT358" s="99"/>
      <c r="AU358" s="81"/>
      <c r="AV358" s="81"/>
      <c r="AW358" s="81"/>
      <c r="AX358" s="81"/>
      <c r="AY358" s="81"/>
      <c r="AZ358" s="81"/>
      <c r="BA358" s="81"/>
      <c r="BB358" s="81"/>
      <c r="BC358" s="81"/>
    </row>
    <row r="359" spans="34:55" ht="12">
      <c r="AH359" s="81"/>
      <c r="AI359" s="81"/>
      <c r="AJ359" s="98">
        <v>8208.914159638001</v>
      </c>
      <c r="AK359" s="98">
        <v>0.8697150997150997</v>
      </c>
      <c r="AL359" s="81"/>
      <c r="AM359" s="98"/>
      <c r="AN359" s="98"/>
      <c r="AO359" s="81"/>
      <c r="AP359" s="98"/>
      <c r="AQ359" s="98"/>
      <c r="AR359" s="81"/>
      <c r="AS359" s="99"/>
      <c r="AT359" s="99"/>
      <c r="AU359" s="81"/>
      <c r="AV359" s="81"/>
      <c r="AW359" s="81"/>
      <c r="AX359" s="81"/>
      <c r="AY359" s="81"/>
      <c r="AZ359" s="81"/>
      <c r="BA359" s="81"/>
      <c r="BB359" s="81"/>
      <c r="BC359" s="81"/>
    </row>
    <row r="360" spans="34:55" ht="12">
      <c r="AH360" s="81"/>
      <c r="AI360" s="81"/>
      <c r="AJ360" s="98">
        <v>8483.428982440457</v>
      </c>
      <c r="AK360" s="98">
        <v>0.8722507122507123</v>
      </c>
      <c r="AL360" s="81"/>
      <c r="AM360" s="98"/>
      <c r="AN360" s="98"/>
      <c r="AO360" s="81"/>
      <c r="AP360" s="98"/>
      <c r="AQ360" s="98"/>
      <c r="AR360" s="81"/>
      <c r="AS360" s="99"/>
      <c r="AT360" s="99"/>
      <c r="AU360" s="81"/>
      <c r="AV360" s="81"/>
      <c r="AW360" s="81"/>
      <c r="AX360" s="81"/>
      <c r="AY360" s="81"/>
      <c r="AZ360" s="81"/>
      <c r="BA360" s="81"/>
      <c r="BB360" s="81"/>
      <c r="BC360" s="81"/>
    </row>
    <row r="361" spans="34:55" ht="12">
      <c r="AH361" s="81"/>
      <c r="AI361" s="81"/>
      <c r="AJ361" s="98">
        <v>8767.123872968408</v>
      </c>
      <c r="AK361" s="98">
        <v>0.8747863247863248</v>
      </c>
      <c r="AL361" s="81"/>
      <c r="AM361" s="98"/>
      <c r="AN361" s="98"/>
      <c r="AO361" s="81"/>
      <c r="AP361" s="98"/>
      <c r="AQ361" s="98"/>
      <c r="AR361" s="81"/>
      <c r="AS361" s="99"/>
      <c r="AT361" s="99"/>
      <c r="AU361" s="81"/>
      <c r="AV361" s="81"/>
      <c r="AW361" s="81"/>
      <c r="AX361" s="81"/>
      <c r="AY361" s="81"/>
      <c r="AZ361" s="81"/>
      <c r="BA361" s="81"/>
      <c r="BB361" s="81"/>
      <c r="BC361" s="81"/>
    </row>
    <row r="362" spans="34:55" ht="12">
      <c r="AH362" s="81"/>
      <c r="AI362" s="81"/>
      <c r="AJ362" s="98">
        <v>9060.305822453092</v>
      </c>
      <c r="AK362" s="98">
        <v>0.8747863247863248</v>
      </c>
      <c r="AL362" s="81"/>
      <c r="AM362" s="98"/>
      <c r="AN362" s="98"/>
      <c r="AO362" s="81"/>
      <c r="AP362" s="98"/>
      <c r="AQ362" s="98"/>
      <c r="AR362" s="81"/>
      <c r="AS362" s="99"/>
      <c r="AT362" s="99"/>
      <c r="AU362" s="81"/>
      <c r="AV362" s="81"/>
      <c r="AW362" s="81"/>
      <c r="AX362" s="81"/>
      <c r="AY362" s="81"/>
      <c r="AZ362" s="81"/>
      <c r="BA362" s="81"/>
      <c r="BB362" s="81"/>
      <c r="BC362" s="81"/>
    </row>
    <row r="363" spans="34:55" ht="12">
      <c r="AH363" s="81"/>
      <c r="AI363" s="81"/>
      <c r="AJ363" s="98">
        <v>9363.29208823912</v>
      </c>
      <c r="AK363" s="98">
        <v>0.8773219373219373</v>
      </c>
      <c r="AL363" s="81"/>
      <c r="AM363" s="98"/>
      <c r="AN363" s="98"/>
      <c r="AO363" s="81"/>
      <c r="AP363" s="98"/>
      <c r="AQ363" s="98"/>
      <c r="AR363" s="81"/>
      <c r="AS363" s="99"/>
      <c r="AT363" s="99"/>
      <c r="AU363" s="81"/>
      <c r="AV363" s="81"/>
      <c r="AW363" s="81"/>
      <c r="AX363" s="81"/>
      <c r="AY363" s="81"/>
      <c r="AZ363" s="81"/>
      <c r="BA363" s="81"/>
      <c r="BB363" s="81"/>
      <c r="BC363" s="81"/>
    </row>
    <row r="364" spans="39:46" ht="12">
      <c r="AM364" s="5"/>
      <c r="AN364" s="5"/>
      <c r="AP364" s="5"/>
      <c r="AQ364" s="5"/>
      <c r="AS364" s="14"/>
      <c r="AT364" s="14"/>
    </row>
    <row r="365" spans="42:43" ht="12">
      <c r="AP365" s="5"/>
      <c r="AQ365" s="5"/>
    </row>
  </sheetData>
  <sheetProtection/>
  <printOptions/>
  <pageMargins left="0.7" right="0.7" top="0.75" bottom="0.75" header="0.3" footer="0.3"/>
  <pageSetup horizontalDpi="600" verticalDpi="600" orientation="portrait" paperSize="9" r:id="rId5"/>
  <drawing r:id="rId4"/>
  <legacyDrawing r:id="rId3"/>
  <oleObjects>
    <oleObject progId="Equation.DSMT4" shapeId="31301814" r:id="rId1"/>
    <oleObject progId="Equation.DSMT4" shapeId="3130398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</dc:creator>
  <cp:keywords/>
  <dc:description/>
  <cp:lastModifiedBy>CEE</cp:lastModifiedBy>
  <cp:lastPrinted>2015-05-14T04:26:05Z</cp:lastPrinted>
  <dcterms:created xsi:type="dcterms:W3CDTF">2010-12-07T01:06:35Z</dcterms:created>
  <dcterms:modified xsi:type="dcterms:W3CDTF">2022-03-12T05:32:48Z</dcterms:modified>
  <cp:category/>
  <cp:version/>
  <cp:contentType/>
  <cp:contentStatus/>
</cp:coreProperties>
</file>